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1"/>
  <fileSharing readOnlyRecommended="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mmardikes/Desktop/"/>
    </mc:Choice>
  </mc:AlternateContent>
  <xr:revisionPtr revIDLastSave="0" documentId="13_ncr:1_{BB5C1BB1-3DD5-D54A-9A93-C856E3C7C96A}" xr6:coauthVersionLast="36" xr6:coauthVersionMax="36" xr10:uidLastSave="{00000000-0000-0000-0000-000000000000}"/>
  <bookViews>
    <workbookView xWindow="0" yWindow="460" windowWidth="25600" windowHeight="15540" activeTab="2" xr2:uid="{00000000-000D-0000-FFFF-FFFF00000000}"/>
  </bookViews>
  <sheets>
    <sheet name="Program Fin_Headcount Data" sheetId="1" r:id="rId1"/>
    <sheet name="Scoring Guidance_Notes" sheetId="3" r:id="rId2"/>
    <sheet name="Program Scores" sheetId="5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94" i="5" l="1"/>
  <c r="AA193" i="5"/>
  <c r="W193" i="5"/>
  <c r="AB193" i="5"/>
  <c r="AF194" i="5" s="1"/>
  <c r="Y197" i="5"/>
  <c r="AB197" i="5" s="1"/>
  <c r="AF197" i="5"/>
  <c r="AB204" i="5"/>
  <c r="AA203" i="5"/>
  <c r="W203" i="5"/>
  <c r="AB203" i="5"/>
  <c r="AF204" i="5" s="1"/>
  <c r="AB206" i="5"/>
  <c r="AF206" i="5" s="1"/>
  <c r="AB208" i="5"/>
  <c r="AF208" i="5" s="1"/>
  <c r="AB209" i="5"/>
  <c r="AF209" i="5" s="1"/>
  <c r="AB211" i="5"/>
  <c r="AF211" i="5" s="1"/>
  <c r="AB212" i="5"/>
  <c r="AF212" i="5" s="1"/>
  <c r="AB213" i="5"/>
  <c r="AF213" i="5" s="1"/>
  <c r="AB215" i="5"/>
  <c r="I203" i="5"/>
  <c r="U203" i="5"/>
  <c r="AB216" i="5"/>
  <c r="AF216" i="5" s="1"/>
  <c r="AB217" i="5"/>
  <c r="AB214" i="5"/>
  <c r="AF218" i="5" s="1"/>
  <c r="K92" i="5"/>
  <c r="L92" i="5" s="1"/>
  <c r="L90" i="5"/>
  <c r="K87" i="5"/>
  <c r="J87" i="5"/>
  <c r="L83" i="5"/>
  <c r="K78" i="5"/>
  <c r="J78" i="5"/>
  <c r="L76" i="5"/>
  <c r="K70" i="5"/>
  <c r="L70" i="5"/>
  <c r="K64" i="5"/>
  <c r="J64" i="5"/>
  <c r="L64" i="5" s="1"/>
  <c r="K59" i="5"/>
  <c r="J59" i="5"/>
  <c r="L56" i="5"/>
  <c r="K51" i="5"/>
  <c r="J51" i="5"/>
  <c r="K47" i="5"/>
  <c r="J47" i="5"/>
  <c r="L47" i="5" s="1"/>
  <c r="K35" i="5"/>
  <c r="L35" i="5"/>
  <c r="K32" i="5"/>
  <c r="J32" i="5"/>
  <c r="K29" i="5"/>
  <c r="J29" i="5"/>
  <c r="L29" i="5" s="1"/>
  <c r="K23" i="5"/>
  <c r="J23" i="5"/>
  <c r="L23" i="5" s="1"/>
  <c r="T23" i="5" s="1"/>
  <c r="K18" i="5"/>
  <c r="L18" i="5"/>
  <c r="K51" i="1"/>
  <c r="K32" i="1"/>
  <c r="K64" i="1"/>
  <c r="J64" i="1"/>
  <c r="K87" i="1"/>
  <c r="J87" i="1"/>
  <c r="K78" i="1"/>
  <c r="J78" i="1"/>
  <c r="K59" i="1"/>
  <c r="J59" i="1"/>
  <c r="J51" i="1"/>
  <c r="K47" i="1"/>
  <c r="J47" i="1"/>
  <c r="J32" i="1"/>
  <c r="K29" i="1"/>
  <c r="J29" i="1"/>
  <c r="K23" i="1"/>
  <c r="J23" i="1"/>
  <c r="L87" i="5"/>
  <c r="T87" i="5" s="1"/>
  <c r="L78" i="5"/>
  <c r="L59" i="5"/>
  <c r="L32" i="5"/>
  <c r="M258" i="1"/>
  <c r="R258" i="1"/>
  <c r="M253" i="1"/>
  <c r="R253" i="1"/>
  <c r="M239" i="1"/>
  <c r="R239" i="1" s="1"/>
  <c r="S239" i="1" s="1"/>
  <c r="P236" i="1"/>
  <c r="O236" i="1"/>
  <c r="M236" i="1"/>
  <c r="R236" i="1" s="1"/>
  <c r="P231" i="1"/>
  <c r="O231" i="1"/>
  <c r="M231" i="1"/>
  <c r="R231" i="1" s="1"/>
  <c r="P227" i="1"/>
  <c r="M227" i="1"/>
  <c r="R227" i="1" s="1"/>
  <c r="M223" i="1"/>
  <c r="R223" i="1" s="1"/>
  <c r="Q203" i="1"/>
  <c r="R203" i="1" s="1"/>
  <c r="M198" i="1"/>
  <c r="R198" i="1" s="1"/>
  <c r="M193" i="1"/>
  <c r="Q186" i="1"/>
  <c r="M186" i="1"/>
  <c r="R186" i="1"/>
  <c r="O186" i="1"/>
  <c r="R183" i="1"/>
  <c r="M170" i="1"/>
  <c r="R170" i="1"/>
  <c r="M164" i="1"/>
  <c r="R164" i="1" s="1"/>
  <c r="S164" i="1" s="1"/>
  <c r="M159" i="1"/>
  <c r="R159" i="1"/>
  <c r="M152" i="1"/>
  <c r="R152" i="1" s="1"/>
  <c r="R147" i="1"/>
  <c r="Q114" i="1"/>
  <c r="R114" i="1" s="1"/>
  <c r="M114" i="1"/>
  <c r="O114" i="1"/>
  <c r="Q99" i="1"/>
  <c r="R99" i="1" s="1"/>
  <c r="T99" i="1" s="1"/>
  <c r="M99" i="1"/>
  <c r="R97" i="1"/>
  <c r="R92" i="1"/>
  <c r="R90" i="1"/>
  <c r="M87" i="1"/>
  <c r="R87" i="1" s="1"/>
  <c r="M83" i="1"/>
  <c r="M78" i="1"/>
  <c r="R78" i="1" s="1"/>
  <c r="R76" i="1"/>
  <c r="S76" i="1" s="1"/>
  <c r="R70" i="1"/>
  <c r="Q59" i="1"/>
  <c r="R59" i="1" s="1"/>
  <c r="R56" i="1"/>
  <c r="M51" i="1"/>
  <c r="R51" i="1" s="1"/>
  <c r="R47" i="1"/>
  <c r="N47" i="1"/>
  <c r="R35" i="1"/>
  <c r="R32" i="1"/>
  <c r="R29" i="1"/>
  <c r="M23" i="1"/>
  <c r="R23" i="1" s="1"/>
  <c r="R19" i="1"/>
  <c r="Q15" i="1"/>
  <c r="M15" i="1"/>
  <c r="R15" i="1" s="1"/>
  <c r="M13" i="1"/>
  <c r="R13" i="1" s="1"/>
  <c r="M9" i="1"/>
  <c r="R9" i="1"/>
  <c r="Q6" i="1"/>
  <c r="R6" i="1" s="1"/>
  <c r="M6" i="1"/>
  <c r="M3" i="1"/>
  <c r="R3" i="1" s="1"/>
  <c r="M87" i="5"/>
  <c r="N47" i="5"/>
  <c r="M223" i="5"/>
  <c r="U223" i="5" s="1"/>
  <c r="P227" i="5"/>
  <c r="M99" i="5"/>
  <c r="M114" i="5"/>
  <c r="M253" i="5"/>
  <c r="M239" i="5"/>
  <c r="O236" i="5"/>
  <c r="M236" i="5"/>
  <c r="M227" i="5"/>
  <c r="R227" i="5" s="1"/>
  <c r="M186" i="5"/>
  <c r="M164" i="5"/>
  <c r="M170" i="5"/>
  <c r="M152" i="5"/>
  <c r="R152" i="5" s="1"/>
  <c r="S152" i="5" s="1"/>
  <c r="M159" i="5"/>
  <c r="M83" i="5"/>
  <c r="M78" i="5"/>
  <c r="M51" i="5"/>
  <c r="M23" i="5"/>
  <c r="Q14" i="5"/>
  <c r="M14" i="5"/>
  <c r="Q5" i="5"/>
  <c r="R5" i="5" s="1"/>
  <c r="M5" i="5"/>
  <c r="R14" i="5"/>
  <c r="S14" i="5" s="1"/>
  <c r="AF249" i="5"/>
  <c r="AF40" i="5"/>
  <c r="AA258" i="5"/>
  <c r="Z258" i="5"/>
  <c r="Y258" i="5"/>
  <c r="X258" i="5"/>
  <c r="W258" i="5"/>
  <c r="M258" i="5"/>
  <c r="L258" i="5"/>
  <c r="AB257" i="5"/>
  <c r="AB256" i="5"/>
  <c r="AB255" i="5"/>
  <c r="AB254" i="5"/>
  <c r="AA253" i="5"/>
  <c r="AC255" i="5"/>
  <c r="Z253" i="5"/>
  <c r="Y253" i="5"/>
  <c r="X253" i="5"/>
  <c r="W253" i="5"/>
  <c r="L253" i="5"/>
  <c r="AB252" i="5"/>
  <c r="AF252" i="5" s="1"/>
  <c r="AB251" i="5"/>
  <c r="AF251" i="5" s="1"/>
  <c r="AB250" i="5"/>
  <c r="AF250" i="5" s="1"/>
  <c r="AB248" i="5"/>
  <c r="AF248" i="5" s="1"/>
  <c r="AB247" i="5"/>
  <c r="AF247" i="5" s="1"/>
  <c r="AB246" i="5"/>
  <c r="AF246" i="5" s="1"/>
  <c r="AB245" i="5"/>
  <c r="AF245" i="5" s="1"/>
  <c r="AB244" i="5"/>
  <c r="AF244" i="5" s="1"/>
  <c r="AB243" i="5"/>
  <c r="AF243" i="5" s="1"/>
  <c r="AB242" i="5"/>
  <c r="AF242" i="5" s="1"/>
  <c r="AB241" i="5"/>
  <c r="AA239" i="5"/>
  <c r="AC247" i="5"/>
  <c r="Z239" i="5"/>
  <c r="Y239" i="5"/>
  <c r="X239" i="5"/>
  <c r="W239" i="5"/>
  <c r="R239" i="5"/>
  <c r="S239" i="5"/>
  <c r="K239" i="5"/>
  <c r="L239" i="5"/>
  <c r="AB238" i="5"/>
  <c r="AB237" i="5"/>
  <c r="AA236" i="5"/>
  <c r="Z236" i="5"/>
  <c r="Y236" i="5"/>
  <c r="X236" i="5"/>
  <c r="W236" i="5"/>
  <c r="P236" i="5"/>
  <c r="L236" i="5"/>
  <c r="V236" i="5"/>
  <c r="AB235" i="5"/>
  <c r="AB234" i="5"/>
  <c r="AB233" i="5"/>
  <c r="AB232" i="5"/>
  <c r="AA231" i="5"/>
  <c r="AC234" i="5"/>
  <c r="Z231" i="5"/>
  <c r="Y231" i="5"/>
  <c r="X231" i="5"/>
  <c r="W231" i="5"/>
  <c r="AB231" i="5" s="1"/>
  <c r="M231" i="5"/>
  <c r="R231" i="5"/>
  <c r="S231" i="5" s="1"/>
  <c r="P231" i="5"/>
  <c r="O231" i="5"/>
  <c r="U231" i="5"/>
  <c r="L231" i="5"/>
  <c r="AB230" i="5"/>
  <c r="AB229" i="5"/>
  <c r="AB228" i="5"/>
  <c r="AA227" i="5"/>
  <c r="Z227" i="5"/>
  <c r="Y227" i="5"/>
  <c r="X227" i="5"/>
  <c r="W227" i="5"/>
  <c r="U227" i="5"/>
  <c r="L227" i="5"/>
  <c r="AB226" i="5"/>
  <c r="AB225" i="5"/>
  <c r="AB224" i="5"/>
  <c r="AA223" i="5"/>
  <c r="Z223" i="5"/>
  <c r="Y223" i="5"/>
  <c r="X223" i="5"/>
  <c r="W223" i="5"/>
  <c r="R223" i="5"/>
  <c r="S223" i="5" s="1"/>
  <c r="K223" i="5"/>
  <c r="L223" i="5"/>
  <c r="V223" i="5" s="1"/>
  <c r="AB222" i="5"/>
  <c r="AB221" i="5"/>
  <c r="AA220" i="5"/>
  <c r="AC222" i="5"/>
  <c r="Z220" i="5"/>
  <c r="Y220" i="5"/>
  <c r="X220" i="5"/>
  <c r="W220" i="5"/>
  <c r="AB220" i="5" s="1"/>
  <c r="AF222" i="5" s="1"/>
  <c r="L220" i="5"/>
  <c r="I220" i="5"/>
  <c r="H220" i="5"/>
  <c r="G220" i="5"/>
  <c r="AB219" i="5"/>
  <c r="AB218" i="5"/>
  <c r="AB210" i="5"/>
  <c r="AB207" i="5"/>
  <c r="AB205" i="5"/>
  <c r="Z203" i="5"/>
  <c r="Y203" i="5"/>
  <c r="X203" i="5"/>
  <c r="Q203" i="5"/>
  <c r="R203" i="5"/>
  <c r="L203" i="5"/>
  <c r="V203" i="5"/>
  <c r="H203" i="5"/>
  <c r="G203" i="5"/>
  <c r="AB202" i="5"/>
  <c r="AB201" i="5"/>
  <c r="AB200" i="5"/>
  <c r="AB199" i="5"/>
  <c r="AA198" i="5"/>
  <c r="Z198" i="5"/>
  <c r="Y198" i="5"/>
  <c r="X198" i="5"/>
  <c r="W198" i="5"/>
  <c r="M198" i="5"/>
  <c r="L198" i="5"/>
  <c r="Y193" i="5"/>
  <c r="AB196" i="5"/>
  <c r="AB195" i="5"/>
  <c r="AC196" i="5"/>
  <c r="Z193" i="5"/>
  <c r="X193" i="5"/>
  <c r="M193" i="5"/>
  <c r="R193" i="5"/>
  <c r="S193" i="5" s="1"/>
  <c r="L193" i="5"/>
  <c r="T193" i="5" s="1"/>
  <c r="AB192" i="5"/>
  <c r="AF192" i="5"/>
  <c r="AB191" i="5"/>
  <c r="AB190" i="5"/>
  <c r="AB189" i="5"/>
  <c r="AF189" i="5"/>
  <c r="AB188" i="5"/>
  <c r="AB187" i="5"/>
  <c r="AA186" i="5"/>
  <c r="AC192" i="5"/>
  <c r="Z186" i="5"/>
  <c r="Y186" i="5"/>
  <c r="X186" i="5"/>
  <c r="W186" i="5"/>
  <c r="Q186" i="5"/>
  <c r="R186" i="5"/>
  <c r="O186" i="5"/>
  <c r="L186" i="5"/>
  <c r="I186" i="5"/>
  <c r="U186" i="5"/>
  <c r="H186" i="5"/>
  <c r="G186" i="5"/>
  <c r="AB185" i="5"/>
  <c r="AB184" i="5"/>
  <c r="AA183" i="5"/>
  <c r="AB183" i="5" s="1"/>
  <c r="AC184" i="5"/>
  <c r="Z183" i="5"/>
  <c r="Y183" i="5"/>
  <c r="X183" i="5"/>
  <c r="W183" i="5"/>
  <c r="U183" i="5"/>
  <c r="R183" i="5"/>
  <c r="S183" i="5"/>
  <c r="L183" i="5"/>
  <c r="V183" i="5"/>
  <c r="AA181" i="5"/>
  <c r="Z181" i="5"/>
  <c r="Y181" i="5"/>
  <c r="X181" i="5"/>
  <c r="W181" i="5"/>
  <c r="AB180" i="5"/>
  <c r="AB179" i="5"/>
  <c r="AB178" i="5"/>
  <c r="AF178" i="5" s="1"/>
  <c r="AB177" i="5"/>
  <c r="AB176" i="5"/>
  <c r="AB175" i="5"/>
  <c r="AB174" i="5"/>
  <c r="AB173" i="5"/>
  <c r="AB172" i="5"/>
  <c r="AB171" i="5"/>
  <c r="AA170" i="5"/>
  <c r="Z170" i="5"/>
  <c r="Y170" i="5"/>
  <c r="X170" i="5"/>
  <c r="W170" i="5"/>
  <c r="U170" i="5"/>
  <c r="R170" i="5"/>
  <c r="S170" i="5"/>
  <c r="L170" i="5"/>
  <c r="V170" i="5"/>
  <c r="AB169" i="5"/>
  <c r="AB168" i="5"/>
  <c r="AB167" i="5"/>
  <c r="AB166" i="5"/>
  <c r="AB165" i="5"/>
  <c r="AA164" i="5"/>
  <c r="Z164" i="5"/>
  <c r="Y164" i="5"/>
  <c r="X164" i="5"/>
  <c r="W164" i="5"/>
  <c r="R164" i="5"/>
  <c r="S164" i="5" s="1"/>
  <c r="L164" i="5"/>
  <c r="V164" i="5" s="1"/>
  <c r="AB163" i="5"/>
  <c r="AB162" i="5"/>
  <c r="AB161" i="5"/>
  <c r="AF161" i="5" s="1"/>
  <c r="AB160" i="5"/>
  <c r="AA159" i="5"/>
  <c r="Z159" i="5"/>
  <c r="Y159" i="5"/>
  <c r="X159" i="5"/>
  <c r="W159" i="5"/>
  <c r="U159" i="5"/>
  <c r="R159" i="5"/>
  <c r="L159" i="5"/>
  <c r="AB158" i="5"/>
  <c r="AB157" i="5"/>
  <c r="AB156" i="5"/>
  <c r="AB155" i="5"/>
  <c r="AB154" i="5"/>
  <c r="AA152" i="5"/>
  <c r="AC158" i="5" s="1"/>
  <c r="Z152" i="5"/>
  <c r="Y152" i="5"/>
  <c r="X152" i="5"/>
  <c r="W152" i="5"/>
  <c r="J152" i="5"/>
  <c r="L152" i="5" s="1"/>
  <c r="AB151" i="5"/>
  <c r="AB150" i="5"/>
  <c r="AB149" i="5"/>
  <c r="AF149" i="5" s="1"/>
  <c r="AB148" i="5"/>
  <c r="AA147" i="5"/>
  <c r="AC151" i="5" s="1"/>
  <c r="Z147" i="5"/>
  <c r="Y147" i="5"/>
  <c r="X147" i="5"/>
  <c r="W147" i="5"/>
  <c r="U147" i="5"/>
  <c r="R147" i="5"/>
  <c r="S147" i="5"/>
  <c r="K147" i="5"/>
  <c r="L147" i="5"/>
  <c r="S146" i="5"/>
  <c r="S145" i="5"/>
  <c r="S144" i="5"/>
  <c r="AB143" i="5"/>
  <c r="I143" i="5"/>
  <c r="H143" i="5"/>
  <c r="G143" i="5"/>
  <c r="AB139" i="5"/>
  <c r="I139" i="5"/>
  <c r="H139" i="5"/>
  <c r="G139" i="5"/>
  <c r="AB135" i="5"/>
  <c r="I135" i="5"/>
  <c r="H135" i="5"/>
  <c r="G135" i="5"/>
  <c r="AB131" i="5"/>
  <c r="I131" i="5"/>
  <c r="H131" i="5"/>
  <c r="G131" i="5"/>
  <c r="AB128" i="5"/>
  <c r="I128" i="5"/>
  <c r="H128" i="5"/>
  <c r="G128" i="5"/>
  <c r="AB125" i="5"/>
  <c r="I125" i="5"/>
  <c r="H125" i="5"/>
  <c r="G125" i="5"/>
  <c r="AB122" i="5"/>
  <c r="I122" i="5"/>
  <c r="H122" i="5"/>
  <c r="G122" i="5"/>
  <c r="AB119" i="5"/>
  <c r="I119" i="5"/>
  <c r="H119" i="5"/>
  <c r="G119" i="5"/>
  <c r="AB115" i="5"/>
  <c r="I115" i="5"/>
  <c r="H115" i="5"/>
  <c r="G115" i="5"/>
  <c r="AA114" i="5"/>
  <c r="Z114" i="5"/>
  <c r="Y114" i="5"/>
  <c r="X114" i="5"/>
  <c r="W114" i="5"/>
  <c r="Q114" i="5"/>
  <c r="O114" i="5"/>
  <c r="K114" i="5"/>
  <c r="L114" i="5" s="1"/>
  <c r="J114" i="5"/>
  <c r="AB113" i="5"/>
  <c r="AB112" i="5"/>
  <c r="AB111" i="5"/>
  <c r="AB110" i="5"/>
  <c r="AB109" i="5"/>
  <c r="AB106" i="5"/>
  <c r="I106" i="5"/>
  <c r="I99" i="5" s="1"/>
  <c r="H106" i="5"/>
  <c r="G106" i="5"/>
  <c r="AB105" i="5"/>
  <c r="AB104" i="5"/>
  <c r="AB103" i="5"/>
  <c r="AB102" i="5"/>
  <c r="AB101" i="5"/>
  <c r="AB100" i="5"/>
  <c r="AA99" i="5"/>
  <c r="AC112" i="5"/>
  <c r="Z99" i="5"/>
  <c r="Y99" i="5"/>
  <c r="X99" i="5"/>
  <c r="W99" i="5"/>
  <c r="Q99" i="5"/>
  <c r="R99" i="5"/>
  <c r="L99" i="5"/>
  <c r="V99" i="5"/>
  <c r="AA97" i="5"/>
  <c r="Z97" i="5"/>
  <c r="Y97" i="5"/>
  <c r="X97" i="5"/>
  <c r="W97" i="5"/>
  <c r="U97" i="5"/>
  <c r="R97" i="5"/>
  <c r="S97" i="5" s="1"/>
  <c r="L97" i="5"/>
  <c r="V97" i="5" s="1"/>
  <c r="L96" i="5"/>
  <c r="AB95" i="5"/>
  <c r="AB94" i="5"/>
  <c r="AF94" i="5" s="1"/>
  <c r="AB93" i="5"/>
  <c r="AA92" i="5"/>
  <c r="AC94" i="5" s="1"/>
  <c r="Z92" i="5"/>
  <c r="Y92" i="5"/>
  <c r="X92" i="5"/>
  <c r="W92" i="5"/>
  <c r="R92" i="5"/>
  <c r="S92" i="5" s="1"/>
  <c r="I92" i="5"/>
  <c r="U92" i="5"/>
  <c r="H92" i="5"/>
  <c r="G92" i="5"/>
  <c r="AA90" i="5"/>
  <c r="Z90" i="5"/>
  <c r="Y90" i="5"/>
  <c r="X90" i="5"/>
  <c r="W90" i="5"/>
  <c r="U90" i="5"/>
  <c r="R90" i="5"/>
  <c r="S90" i="5"/>
  <c r="AB89" i="5"/>
  <c r="AF91" i="5" s="1"/>
  <c r="AB88" i="5"/>
  <c r="AA87" i="5"/>
  <c r="Z87" i="5"/>
  <c r="Y87" i="5"/>
  <c r="X87" i="5"/>
  <c r="W87" i="5"/>
  <c r="R87" i="5"/>
  <c r="S87" i="5" s="1"/>
  <c r="AB86" i="5"/>
  <c r="AB85" i="5"/>
  <c r="AB84" i="5"/>
  <c r="AA83" i="5"/>
  <c r="AC85" i="5"/>
  <c r="Z83" i="5"/>
  <c r="Y83" i="5"/>
  <c r="X83" i="5"/>
  <c r="W83" i="5"/>
  <c r="AB83" i="5" s="1"/>
  <c r="AF84" i="5" s="1"/>
  <c r="U83" i="5"/>
  <c r="R83" i="5"/>
  <c r="S83" i="5" s="1"/>
  <c r="AB82" i="5"/>
  <c r="AB81" i="5"/>
  <c r="AB80" i="5"/>
  <c r="AB79" i="5"/>
  <c r="AA78" i="5"/>
  <c r="Z78" i="5"/>
  <c r="Y78" i="5"/>
  <c r="X78" i="5"/>
  <c r="W78" i="5"/>
  <c r="R78" i="5"/>
  <c r="S78" i="5"/>
  <c r="W77" i="5"/>
  <c r="W76" i="5" s="1"/>
  <c r="AB76" i="5" s="1"/>
  <c r="AF77" i="5" s="1"/>
  <c r="AA76" i="5"/>
  <c r="Z76" i="5"/>
  <c r="Y76" i="5"/>
  <c r="X76" i="5"/>
  <c r="U76" i="5"/>
  <c r="R76" i="5"/>
  <c r="AB75" i="5"/>
  <c r="AB74" i="5"/>
  <c r="AB73" i="5"/>
  <c r="AB72" i="5"/>
  <c r="AB71" i="5"/>
  <c r="AA70" i="5"/>
  <c r="Z70" i="5"/>
  <c r="Y70" i="5"/>
  <c r="X70" i="5"/>
  <c r="W70" i="5"/>
  <c r="V70" i="5"/>
  <c r="U70" i="5"/>
  <c r="R70" i="5"/>
  <c r="S70" i="5" s="1"/>
  <c r="AB69" i="5"/>
  <c r="AB68" i="5"/>
  <c r="AB67" i="5"/>
  <c r="AB66" i="5"/>
  <c r="AB65" i="5"/>
  <c r="AA64" i="5"/>
  <c r="AC69" i="5"/>
  <c r="Z64" i="5"/>
  <c r="Y64" i="5"/>
  <c r="X64" i="5"/>
  <c r="W64" i="5"/>
  <c r="AB64" i="5" s="1"/>
  <c r="I64" i="5"/>
  <c r="H64" i="5"/>
  <c r="G64" i="5"/>
  <c r="AB63" i="5"/>
  <c r="AB62" i="5"/>
  <c r="AB61" i="5"/>
  <c r="AB60" i="5"/>
  <c r="AA59" i="5"/>
  <c r="Z59" i="5"/>
  <c r="Y59" i="5"/>
  <c r="X59" i="5"/>
  <c r="W59" i="5"/>
  <c r="U59" i="5"/>
  <c r="Q59" i="5"/>
  <c r="R59" i="5"/>
  <c r="S59" i="5" s="1"/>
  <c r="X58" i="5"/>
  <c r="X56" i="5" s="1"/>
  <c r="W58" i="5"/>
  <c r="AB57" i="5"/>
  <c r="AA56" i="5"/>
  <c r="Z56" i="5"/>
  <c r="Y56" i="5"/>
  <c r="U56" i="5"/>
  <c r="R56" i="5"/>
  <c r="T56" i="5"/>
  <c r="V56" i="5"/>
  <c r="AB55" i="5"/>
  <c r="AB54" i="5"/>
  <c r="AB53" i="5"/>
  <c r="AB52" i="5"/>
  <c r="AA51" i="5"/>
  <c r="AC53" i="5" s="1"/>
  <c r="Z51" i="5"/>
  <c r="Y51" i="5"/>
  <c r="X51" i="5"/>
  <c r="W51" i="5"/>
  <c r="R51" i="5"/>
  <c r="S51" i="5" s="1"/>
  <c r="AB50" i="5"/>
  <c r="AB49" i="5"/>
  <c r="AF49" i="5" s="1"/>
  <c r="AB48" i="5"/>
  <c r="AA47" i="5"/>
  <c r="AC48" i="5" s="1"/>
  <c r="Z47" i="5"/>
  <c r="Y47" i="5"/>
  <c r="X47" i="5"/>
  <c r="W47" i="5"/>
  <c r="V47" i="5"/>
  <c r="R47" i="5"/>
  <c r="S47" i="5"/>
  <c r="U47" i="5"/>
  <c r="AB46" i="5"/>
  <c r="AF46" i="5" s="1"/>
  <c r="AB45" i="5"/>
  <c r="AF45" i="5" s="1"/>
  <c r="AB44" i="5"/>
  <c r="AF44" i="5" s="1"/>
  <c r="AB43" i="5"/>
  <c r="AF43" i="5" s="1"/>
  <c r="AB42" i="5"/>
  <c r="AF42" i="5" s="1"/>
  <c r="AB41" i="5"/>
  <c r="AF41" i="5" s="1"/>
  <c r="AB39" i="5"/>
  <c r="AF39" i="5" s="1"/>
  <c r="I39" i="5"/>
  <c r="I35" i="5" s="1"/>
  <c r="AB38" i="5"/>
  <c r="AF38" i="5" s="1"/>
  <c r="AB37" i="5"/>
  <c r="AB36" i="5"/>
  <c r="AA35" i="5"/>
  <c r="Z35" i="5"/>
  <c r="Y35" i="5"/>
  <c r="X35" i="5"/>
  <c r="W35" i="5"/>
  <c r="V35" i="5"/>
  <c r="R35" i="5"/>
  <c r="T35" i="5"/>
  <c r="H35" i="5"/>
  <c r="G35" i="5"/>
  <c r="AB34" i="5"/>
  <c r="AB33" i="5"/>
  <c r="AA32" i="5"/>
  <c r="AC34" i="5"/>
  <c r="Z32" i="5"/>
  <c r="Y32" i="5"/>
  <c r="X32" i="5"/>
  <c r="W32" i="5"/>
  <c r="U32" i="5"/>
  <c r="R32" i="5"/>
  <c r="S32" i="5"/>
  <c r="AB31" i="5"/>
  <c r="AB30" i="5"/>
  <c r="AF30" i="5" s="1"/>
  <c r="AA29" i="5"/>
  <c r="Z29" i="5"/>
  <c r="Y29" i="5"/>
  <c r="X29" i="5"/>
  <c r="W29" i="5"/>
  <c r="U29" i="5"/>
  <c r="R29" i="5"/>
  <c r="S29" i="5" s="1"/>
  <c r="AB28" i="5"/>
  <c r="AB27" i="5"/>
  <c r="AB26" i="5"/>
  <c r="AF26" i="5" s="1"/>
  <c r="AB25" i="5"/>
  <c r="AB24" i="5"/>
  <c r="AA23" i="5"/>
  <c r="AC28" i="5"/>
  <c r="Z23" i="5"/>
  <c r="Y23" i="5"/>
  <c r="X23" i="5"/>
  <c r="W23" i="5"/>
  <c r="U23" i="5"/>
  <c r="R23" i="5"/>
  <c r="S23" i="5" s="1"/>
  <c r="V23" i="5"/>
  <c r="AB21" i="5"/>
  <c r="AB20" i="5"/>
  <c r="AB19" i="5"/>
  <c r="AA18" i="5"/>
  <c r="Z18" i="5"/>
  <c r="Y18" i="5"/>
  <c r="X18" i="5"/>
  <c r="W18" i="5"/>
  <c r="V18" i="5"/>
  <c r="R18" i="5"/>
  <c r="T18" i="5" s="1"/>
  <c r="I18" i="5"/>
  <c r="U18" i="5" s="1"/>
  <c r="H18" i="5"/>
  <c r="G18" i="5"/>
  <c r="AB17" i="5"/>
  <c r="AB16" i="5"/>
  <c r="AB15" i="5"/>
  <c r="AA14" i="5"/>
  <c r="AC16" i="5"/>
  <c r="Z14" i="5"/>
  <c r="Y14" i="5"/>
  <c r="X14" i="5"/>
  <c r="W14" i="5"/>
  <c r="AB14" i="5" s="1"/>
  <c r="K14" i="5"/>
  <c r="J14" i="5"/>
  <c r="I14" i="5"/>
  <c r="H14" i="5"/>
  <c r="G14" i="5"/>
  <c r="AA12" i="5"/>
  <c r="Z12" i="5"/>
  <c r="Y12" i="5"/>
  <c r="X12" i="5"/>
  <c r="W12" i="5"/>
  <c r="M12" i="5"/>
  <c r="L12" i="5"/>
  <c r="AB11" i="5"/>
  <c r="AB10" i="5"/>
  <c r="AB9" i="5"/>
  <c r="AA8" i="5"/>
  <c r="AC10" i="5"/>
  <c r="Z8" i="5"/>
  <c r="Y8" i="5"/>
  <c r="X8" i="5"/>
  <c r="W8" i="5"/>
  <c r="M8" i="5"/>
  <c r="L8" i="5"/>
  <c r="AB7" i="5"/>
  <c r="AB6" i="5"/>
  <c r="AA5" i="5"/>
  <c r="AC6" i="5"/>
  <c r="Z5" i="5"/>
  <c r="Y5" i="5"/>
  <c r="X5" i="5"/>
  <c r="W5" i="5"/>
  <c r="U5" i="5"/>
  <c r="J5" i="5"/>
  <c r="L5" i="5"/>
  <c r="V5" i="5" s="1"/>
  <c r="AB4" i="5"/>
  <c r="AB3" i="5"/>
  <c r="AA2" i="5"/>
  <c r="Z2" i="5"/>
  <c r="Y2" i="5"/>
  <c r="X2" i="5"/>
  <c r="W2" i="5"/>
  <c r="M2" i="5"/>
  <c r="U2" i="5"/>
  <c r="L2" i="5"/>
  <c r="V2" i="5"/>
  <c r="U258" i="1"/>
  <c r="U253" i="1"/>
  <c r="U239" i="1"/>
  <c r="U236" i="1"/>
  <c r="U231" i="1"/>
  <c r="U223" i="1"/>
  <c r="U198" i="1"/>
  <c r="U183" i="1"/>
  <c r="U170" i="1"/>
  <c r="U164" i="1"/>
  <c r="U159" i="1"/>
  <c r="U152" i="1"/>
  <c r="U147" i="1"/>
  <c r="U114" i="1"/>
  <c r="U97" i="1"/>
  <c r="U90" i="1"/>
  <c r="U87" i="1"/>
  <c r="U78" i="1"/>
  <c r="U76" i="1"/>
  <c r="U70" i="1"/>
  <c r="U59" i="1"/>
  <c r="U56" i="1"/>
  <c r="U51" i="1"/>
  <c r="U47" i="1"/>
  <c r="U32" i="1"/>
  <c r="U29" i="1"/>
  <c r="U23" i="1"/>
  <c r="U13" i="1"/>
  <c r="U9" i="1"/>
  <c r="U6" i="1"/>
  <c r="U3" i="1"/>
  <c r="G99" i="5"/>
  <c r="H99" i="5"/>
  <c r="AB90" i="5"/>
  <c r="R2" i="5"/>
  <c r="S2" i="5" s="1"/>
  <c r="AF27" i="5"/>
  <c r="AF67" i="5"/>
  <c r="AC148" i="5"/>
  <c r="AC246" i="5"/>
  <c r="AF25" i="5"/>
  <c r="AC107" i="5"/>
  <c r="AC79" i="5"/>
  <c r="AC95" i="5"/>
  <c r="AC100" i="5"/>
  <c r="AF185" i="5"/>
  <c r="AC232" i="5"/>
  <c r="AF184" i="5"/>
  <c r="AF21" i="5"/>
  <c r="AC93" i="5"/>
  <c r="T99" i="5"/>
  <c r="AC150" i="5"/>
  <c r="AC11" i="5"/>
  <c r="S76" i="5"/>
  <c r="AF180" i="5"/>
  <c r="AC235" i="5"/>
  <c r="AC84" i="5"/>
  <c r="AB92" i="5"/>
  <c r="AC104" i="5"/>
  <c r="AC113" i="5"/>
  <c r="T170" i="5"/>
  <c r="AB181" i="5"/>
  <c r="AF182" i="5" s="1"/>
  <c r="AC189" i="5"/>
  <c r="AF233" i="5"/>
  <c r="AC233" i="5"/>
  <c r="AC252" i="5"/>
  <c r="AB70" i="5"/>
  <c r="AF72" i="5" s="1"/>
  <c r="AC86" i="5"/>
  <c r="AC191" i="5"/>
  <c r="AC15" i="5"/>
  <c r="AF24" i="5"/>
  <c r="AC27" i="5"/>
  <c r="S56" i="5"/>
  <c r="AC68" i="5"/>
  <c r="AC73" i="5"/>
  <c r="AC102" i="5"/>
  <c r="V114" i="5"/>
  <c r="AC187" i="5"/>
  <c r="AC221" i="5"/>
  <c r="AC162" i="5"/>
  <c r="AC160" i="5"/>
  <c r="AC163" i="5"/>
  <c r="AC161" i="5"/>
  <c r="AB159" i="5"/>
  <c r="AF162" i="5"/>
  <c r="T231" i="5"/>
  <c r="V231" i="5"/>
  <c r="U8" i="5"/>
  <c r="V8" i="5"/>
  <c r="R8" i="5"/>
  <c r="S8" i="5"/>
  <c r="AC44" i="5"/>
  <c r="AC38" i="5"/>
  <c r="AC256" i="5"/>
  <c r="AC257" i="5"/>
  <c r="AB253" i="5"/>
  <c r="AC4" i="5"/>
  <c r="AC3" i="5"/>
  <c r="AC168" i="5"/>
  <c r="T183" i="5"/>
  <c r="T239" i="5"/>
  <c r="AC9" i="5"/>
  <c r="AC25" i="5"/>
  <c r="AC111" i="5"/>
  <c r="AC137" i="5"/>
  <c r="AC185" i="5"/>
  <c r="AC195" i="5"/>
  <c r="AC197" i="5"/>
  <c r="AC244" i="5"/>
  <c r="AC250" i="5"/>
  <c r="AF13" i="5"/>
  <c r="AB23" i="5"/>
  <c r="AF28" i="5" s="1"/>
  <c r="AC66" i="5"/>
  <c r="AB99" i="5"/>
  <c r="AF101" i="5" s="1"/>
  <c r="AC101" i="5"/>
  <c r="AC103" i="5"/>
  <c r="AC105" i="5"/>
  <c r="AC109" i="5"/>
  <c r="AC119" i="5"/>
  <c r="AC173" i="5"/>
  <c r="AF179" i="5"/>
  <c r="AB186" i="5"/>
  <c r="AC188" i="5"/>
  <c r="AC190" i="5"/>
  <c r="AB239" i="5"/>
  <c r="AF240" i="5" s="1"/>
  <c r="AC242" i="5"/>
  <c r="AB12" i="5"/>
  <c r="L14" i="5"/>
  <c r="V14" i="5" s="1"/>
  <c r="AC33" i="5"/>
  <c r="T97" i="5"/>
  <c r="AC106" i="5"/>
  <c r="AC171" i="5"/>
  <c r="AF177" i="5"/>
  <c r="AC179" i="5"/>
  <c r="T203" i="5"/>
  <c r="AC240" i="5"/>
  <c r="AC248" i="5"/>
  <c r="T47" i="5"/>
  <c r="U99" i="5"/>
  <c r="V59" i="5"/>
  <c r="T59" i="5"/>
  <c r="AB5" i="5"/>
  <c r="U14" i="5"/>
  <c r="AC58" i="5"/>
  <c r="AC57" i="5"/>
  <c r="T78" i="5"/>
  <c r="V78" i="5"/>
  <c r="T83" i="5"/>
  <c r="V83" i="5"/>
  <c r="V159" i="5"/>
  <c r="AC7" i="5"/>
  <c r="AB258" i="5"/>
  <c r="AC54" i="5"/>
  <c r="AC52" i="5"/>
  <c r="AC31" i="5"/>
  <c r="AB29" i="5"/>
  <c r="AB51" i="5"/>
  <c r="AF52" i="5" s="1"/>
  <c r="AC60" i="5"/>
  <c r="AC61" i="5"/>
  <c r="T90" i="5"/>
  <c r="V90" i="5"/>
  <c r="T186" i="5"/>
  <c r="S203" i="5"/>
  <c r="AC226" i="5"/>
  <c r="AC224" i="5"/>
  <c r="AC225" i="5"/>
  <c r="AB223" i="5"/>
  <c r="V227" i="5"/>
  <c r="R236" i="5"/>
  <c r="S236" i="5" s="1"/>
  <c r="U236" i="5"/>
  <c r="AC237" i="5"/>
  <c r="AC238" i="5"/>
  <c r="AB236" i="5"/>
  <c r="AF238" i="5"/>
  <c r="AB2" i="5"/>
  <c r="AB8" i="5"/>
  <c r="AF9" i="5" s="1"/>
  <c r="U12" i="5"/>
  <c r="AC21" i="5"/>
  <c r="AC49" i="5"/>
  <c r="AB47" i="5"/>
  <c r="AF48" i="5"/>
  <c r="AB59" i="5"/>
  <c r="AF61" i="5" s="1"/>
  <c r="U78" i="5"/>
  <c r="U87" i="5"/>
  <c r="T92" i="5"/>
  <c r="V92" i="5"/>
  <c r="V186" i="5"/>
  <c r="AC201" i="5"/>
  <c r="AC199" i="5"/>
  <c r="AC202" i="5"/>
  <c r="AC200" i="5"/>
  <c r="AB198" i="5"/>
  <c r="J261" i="5"/>
  <c r="AC20" i="5"/>
  <c r="AC17" i="5"/>
  <c r="AC19" i="5"/>
  <c r="AC30" i="5"/>
  <c r="AC50" i="5"/>
  <c r="AC55" i="5"/>
  <c r="R114" i="5"/>
  <c r="S114" i="5"/>
  <c r="U114" i="5"/>
  <c r="AF132" i="5" s="1"/>
  <c r="AC140" i="5"/>
  <c r="AC136" i="5"/>
  <c r="AC132" i="5"/>
  <c r="AC128" i="5"/>
  <c r="AC124" i="5"/>
  <c r="AC116" i="5"/>
  <c r="AC143" i="5"/>
  <c r="AC139" i="5"/>
  <c r="AC135" i="5"/>
  <c r="AC131" i="5"/>
  <c r="AC127" i="5"/>
  <c r="AC123" i="5"/>
  <c r="AC115" i="5"/>
  <c r="AC142" i="5"/>
  <c r="AC138" i="5"/>
  <c r="AC134" i="5"/>
  <c r="AC130" i="5"/>
  <c r="AC126" i="5"/>
  <c r="AC122" i="5"/>
  <c r="AB114" i="5"/>
  <c r="AF116" i="5" s="1"/>
  <c r="AC133" i="5"/>
  <c r="T164" i="5"/>
  <c r="U193" i="5"/>
  <c r="AC218" i="5"/>
  <c r="AC216" i="5"/>
  <c r="AC210" i="5"/>
  <c r="AC208" i="5"/>
  <c r="AC206" i="5"/>
  <c r="AC204" i="5"/>
  <c r="AC219" i="5"/>
  <c r="AC217" i="5"/>
  <c r="AC211" i="5"/>
  <c r="AC209" i="5"/>
  <c r="AC207" i="5"/>
  <c r="AC205" i="5"/>
  <c r="AC230" i="5"/>
  <c r="AC228" i="5"/>
  <c r="AC229" i="5"/>
  <c r="AB227" i="5"/>
  <c r="U239" i="5"/>
  <c r="AC24" i="5"/>
  <c r="AC26" i="5"/>
  <c r="U51" i="5"/>
  <c r="AC65" i="5"/>
  <c r="AC67" i="5"/>
  <c r="U152" i="5"/>
  <c r="U164" i="5"/>
  <c r="S186" i="5"/>
  <c r="V193" i="5"/>
  <c r="AC194" i="5"/>
  <c r="V239" i="5"/>
  <c r="AC249" i="5"/>
  <c r="AC251" i="5"/>
  <c r="AB32" i="5"/>
  <c r="AF33" i="5"/>
  <c r="AB35" i="5"/>
  <c r="AF37" i="5" s="1"/>
  <c r="AC37" i="5"/>
  <c r="AC41" i="5"/>
  <c r="AC43" i="5"/>
  <c r="AC108" i="5"/>
  <c r="AC110" i="5"/>
  <c r="AB147" i="5"/>
  <c r="AF151" i="5" s="1"/>
  <c r="AC149" i="5"/>
  <c r="AC167" i="5"/>
  <c r="AB170" i="5"/>
  <c r="AC172" i="5"/>
  <c r="AC174" i="5"/>
  <c r="AC176" i="5"/>
  <c r="AC178" i="5"/>
  <c r="AC241" i="5"/>
  <c r="AC243" i="5"/>
  <c r="AC245" i="5"/>
  <c r="AC254" i="5"/>
  <c r="S258" i="1"/>
  <c r="S253" i="1"/>
  <c r="S231" i="1"/>
  <c r="S227" i="1"/>
  <c r="S223" i="1"/>
  <c r="S198" i="1"/>
  <c r="S183" i="1"/>
  <c r="S170" i="1"/>
  <c r="S152" i="1"/>
  <c r="S159" i="1"/>
  <c r="S147" i="1"/>
  <c r="S97" i="1"/>
  <c r="S90" i="1"/>
  <c r="S70" i="1"/>
  <c r="S56" i="1"/>
  <c r="S32" i="1"/>
  <c r="S29" i="1"/>
  <c r="S23" i="1"/>
  <c r="T2" i="5"/>
  <c r="T236" i="5"/>
  <c r="T8" i="5"/>
  <c r="AF234" i="5"/>
  <c r="AF257" i="5"/>
  <c r="AF254" i="5"/>
  <c r="AF75" i="5"/>
  <c r="AF4" i="5"/>
  <c r="AF171" i="5"/>
  <c r="AF74" i="5"/>
  <c r="AF95" i="5"/>
  <c r="AF63" i="5"/>
  <c r="AF100" i="5"/>
  <c r="AF85" i="5"/>
  <c r="AF93" i="5"/>
  <c r="AF71" i="5"/>
  <c r="AF31" i="5"/>
  <c r="AF232" i="5"/>
  <c r="AF160" i="5"/>
  <c r="AF255" i="5"/>
  <c r="AF235" i="5"/>
  <c r="AF7" i="5"/>
  <c r="AF237" i="5"/>
  <c r="AF241" i="5"/>
  <c r="AF86" i="5"/>
  <c r="AF163" i="5"/>
  <c r="AF34" i="5"/>
  <c r="AF16" i="5"/>
  <c r="AF50" i="5"/>
  <c r="AF54" i="5"/>
  <c r="AF10" i="5"/>
  <c r="AF36" i="5"/>
  <c r="AF53" i="5"/>
  <c r="AF128" i="5"/>
  <c r="AF139" i="5"/>
  <c r="AF123" i="5"/>
  <c r="AF142" i="5"/>
  <c r="AF126" i="5"/>
  <c r="AF111" i="5"/>
  <c r="AF107" i="5"/>
  <c r="AF103" i="5"/>
  <c r="AF110" i="5"/>
  <c r="AF102" i="5"/>
  <c r="AF113" i="5"/>
  <c r="AF109" i="5"/>
  <c r="AF105" i="5"/>
  <c r="AF112" i="5"/>
  <c r="AF108" i="5"/>
  <c r="AF104" i="5"/>
  <c r="AF106" i="5"/>
  <c r="T114" i="5"/>
  <c r="S236" i="1"/>
  <c r="S59" i="1"/>
  <c r="S114" i="1"/>
  <c r="S51" i="1"/>
  <c r="S87" i="1"/>
  <c r="S78" i="1"/>
  <c r="S47" i="1"/>
  <c r="S9" i="1"/>
  <c r="S6" i="1"/>
  <c r="S3" i="1"/>
  <c r="S13" i="1"/>
  <c r="K19" i="1"/>
  <c r="L32" i="1"/>
  <c r="K35" i="1"/>
  <c r="L35" i="1"/>
  <c r="L59" i="1"/>
  <c r="V59" i="1" s="1"/>
  <c r="L64" i="1"/>
  <c r="K70" i="1"/>
  <c r="L87" i="1"/>
  <c r="K223" i="1"/>
  <c r="L223" i="1" s="1"/>
  <c r="K92" i="1"/>
  <c r="L92" i="1" s="1"/>
  <c r="K114" i="1"/>
  <c r="K147" i="1"/>
  <c r="L147" i="1" s="1"/>
  <c r="K239" i="1"/>
  <c r="L239" i="1"/>
  <c r="L258" i="1"/>
  <c r="V258" i="1" s="1"/>
  <c r="L253" i="1"/>
  <c r="L236" i="1"/>
  <c r="L231" i="1"/>
  <c r="L227" i="1"/>
  <c r="V227" i="1" s="1"/>
  <c r="L220" i="1"/>
  <c r="L203" i="1"/>
  <c r="L198" i="1"/>
  <c r="V198" i="1" s="1"/>
  <c r="L193" i="1"/>
  <c r="L186" i="1"/>
  <c r="L183" i="1"/>
  <c r="L170" i="1"/>
  <c r="V170" i="1" s="1"/>
  <c r="L164" i="1"/>
  <c r="L159" i="1"/>
  <c r="L99" i="1"/>
  <c r="L97" i="1"/>
  <c r="V97" i="1" s="1"/>
  <c r="L96" i="1"/>
  <c r="L90" i="1"/>
  <c r="L83" i="1"/>
  <c r="L78" i="1"/>
  <c r="V78" i="1" s="1"/>
  <c r="L76" i="1"/>
  <c r="T76" i="1" s="1"/>
  <c r="L70" i="1"/>
  <c r="L56" i="1"/>
  <c r="T56" i="1" s="1"/>
  <c r="L51" i="1"/>
  <c r="V51" i="1" s="1"/>
  <c r="L47" i="1"/>
  <c r="L29" i="1"/>
  <c r="L23" i="1"/>
  <c r="L19" i="1"/>
  <c r="V19" i="1" s="1"/>
  <c r="L13" i="1"/>
  <c r="L9" i="1"/>
  <c r="L3" i="1"/>
  <c r="T3" i="1"/>
  <c r="V3" i="1"/>
  <c r="V56" i="1"/>
  <c r="V83" i="1"/>
  <c r="V99" i="1"/>
  <c r="T183" i="1"/>
  <c r="V183" i="1"/>
  <c r="T203" i="1"/>
  <c r="V203" i="1"/>
  <c r="T231" i="1"/>
  <c r="V231" i="1"/>
  <c r="V239" i="1"/>
  <c r="T9" i="1"/>
  <c r="V9" i="1"/>
  <c r="T70" i="1"/>
  <c r="V70" i="1"/>
  <c r="T90" i="1"/>
  <c r="V90" i="1"/>
  <c r="T159" i="1"/>
  <c r="V159" i="1"/>
  <c r="T186" i="1"/>
  <c r="V186" i="1"/>
  <c r="T236" i="1"/>
  <c r="V236" i="1"/>
  <c r="T35" i="1"/>
  <c r="V35" i="1"/>
  <c r="T13" i="1"/>
  <c r="V13" i="1"/>
  <c r="V76" i="1"/>
  <c r="T164" i="1"/>
  <c r="V164" i="1"/>
  <c r="T253" i="1"/>
  <c r="V253" i="1"/>
  <c r="T170" i="1"/>
  <c r="T227" i="1"/>
  <c r="T87" i="1"/>
  <c r="V87" i="1"/>
  <c r="T78" i="1"/>
  <c r="T51" i="1"/>
  <c r="T47" i="1"/>
  <c r="V47" i="1"/>
  <c r="T32" i="1"/>
  <c r="V32" i="1"/>
  <c r="T29" i="1"/>
  <c r="V29" i="1"/>
  <c r="T23" i="1"/>
  <c r="V23" i="1"/>
  <c r="AB21" i="1"/>
  <c r="AB215" i="1"/>
  <c r="AB214" i="1"/>
  <c r="AB213" i="1"/>
  <c r="AB212" i="1"/>
  <c r="I203" i="1"/>
  <c r="S203" i="1" s="1"/>
  <c r="H203" i="1"/>
  <c r="G203" i="1"/>
  <c r="U203" i="1"/>
  <c r="J114" i="1"/>
  <c r="L114" i="1" s="1"/>
  <c r="J152" i="1"/>
  <c r="L152" i="1"/>
  <c r="K15" i="1"/>
  <c r="L15" i="1" s="1"/>
  <c r="J15" i="1"/>
  <c r="J6" i="1"/>
  <c r="T152" i="1"/>
  <c r="V152" i="1"/>
  <c r="J261" i="1"/>
  <c r="L6" i="1"/>
  <c r="V6" i="1" s="1"/>
  <c r="AB187" i="1"/>
  <c r="AA186" i="1"/>
  <c r="AC192" i="1" s="1"/>
  <c r="Z186" i="1"/>
  <c r="Y186" i="1"/>
  <c r="X186" i="1"/>
  <c r="W186" i="1"/>
  <c r="I186" i="1"/>
  <c r="H186" i="1"/>
  <c r="G186" i="1"/>
  <c r="S186" i="1"/>
  <c r="U186" i="1"/>
  <c r="T6" i="1"/>
  <c r="AC188" i="1"/>
  <c r="AC191" i="1"/>
  <c r="AC189" i="1"/>
  <c r="AB192" i="1"/>
  <c r="AB191" i="1"/>
  <c r="AB190" i="1"/>
  <c r="AB189" i="1"/>
  <c r="AB188" i="1"/>
  <c r="AB16" i="1"/>
  <c r="AA15" i="1"/>
  <c r="AC21" i="1"/>
  <c r="Z15" i="1"/>
  <c r="Y15" i="1"/>
  <c r="X15" i="1"/>
  <c r="W15" i="1"/>
  <c r="AB15" i="1" s="1"/>
  <c r="I15" i="1"/>
  <c r="H15" i="1"/>
  <c r="G15" i="1"/>
  <c r="S15" i="1"/>
  <c r="U15" i="1"/>
  <c r="AC17" i="1"/>
  <c r="AC16" i="1"/>
  <c r="AC18" i="1"/>
  <c r="H106" i="1"/>
  <c r="H115" i="1"/>
  <c r="H119" i="1"/>
  <c r="H122" i="1"/>
  <c r="H125" i="1"/>
  <c r="H128" i="1"/>
  <c r="H131" i="1"/>
  <c r="H135" i="1"/>
  <c r="H139" i="1"/>
  <c r="H143" i="1"/>
  <c r="AA64" i="1"/>
  <c r="AC65" i="1"/>
  <c r="Z64" i="1"/>
  <c r="Y64" i="1"/>
  <c r="X64" i="1"/>
  <c r="W64" i="1"/>
  <c r="AB65" i="1"/>
  <c r="I92" i="1"/>
  <c r="H92" i="1"/>
  <c r="G92" i="1"/>
  <c r="AB39" i="1"/>
  <c r="H35" i="1"/>
  <c r="G35" i="1"/>
  <c r="I39" i="1"/>
  <c r="I35" i="1" s="1"/>
  <c r="AB113" i="1"/>
  <c r="Z99" i="1"/>
  <c r="Y99" i="1"/>
  <c r="X99" i="1"/>
  <c r="W99" i="1"/>
  <c r="AA99" i="1"/>
  <c r="AC113" i="1"/>
  <c r="H99" i="1"/>
  <c r="S92" i="1"/>
  <c r="U92" i="1"/>
  <c r="H19" i="1"/>
  <c r="G19" i="1"/>
  <c r="I19" i="1"/>
  <c r="U19" i="1" s="1"/>
  <c r="I64" i="1"/>
  <c r="H64" i="1"/>
  <c r="G64" i="1"/>
  <c r="I106" i="1"/>
  <c r="I99" i="1"/>
  <c r="S99" i="1" s="1"/>
  <c r="G106" i="1"/>
  <c r="G99" i="1" s="1"/>
  <c r="U99" i="1"/>
  <c r="Y258" i="1"/>
  <c r="Z258" i="1"/>
  <c r="AA258" i="1"/>
  <c r="Z253" i="1"/>
  <c r="AB143" i="1"/>
  <c r="AB139" i="1"/>
  <c r="AB135" i="1"/>
  <c r="AB131" i="1"/>
  <c r="AB128" i="1"/>
  <c r="AB125" i="1"/>
  <c r="AB122" i="1"/>
  <c r="AB119" i="1"/>
  <c r="AB115" i="1"/>
  <c r="I119" i="1"/>
  <c r="G119" i="1"/>
  <c r="I122" i="1"/>
  <c r="G122" i="1"/>
  <c r="I125" i="1"/>
  <c r="G125" i="1"/>
  <c r="I128" i="1"/>
  <c r="G128" i="1"/>
  <c r="I143" i="1"/>
  <c r="G143" i="1"/>
  <c r="I139" i="1"/>
  <c r="G139" i="1"/>
  <c r="I135" i="1"/>
  <c r="G135" i="1"/>
  <c r="I131" i="1"/>
  <c r="G131" i="1"/>
  <c r="I115" i="1"/>
  <c r="G115" i="1"/>
  <c r="AB106" i="1"/>
  <c r="AA253" i="1"/>
  <c r="AC256" i="1" s="1"/>
  <c r="Y253" i="1"/>
  <c r="X253" i="1"/>
  <c r="W253" i="1"/>
  <c r="Y197" i="1"/>
  <c r="AB197" i="1" s="1"/>
  <c r="W77" i="1"/>
  <c r="W76" i="1"/>
  <c r="AA3" i="1"/>
  <c r="AC5" i="1" s="1"/>
  <c r="Z3" i="1"/>
  <c r="Y3" i="1"/>
  <c r="X3" i="1"/>
  <c r="W3" i="1"/>
  <c r="AA6" i="1"/>
  <c r="Z6" i="1"/>
  <c r="Y6" i="1"/>
  <c r="X6" i="1"/>
  <c r="W6" i="1"/>
  <c r="AA9" i="1"/>
  <c r="Z9" i="1"/>
  <c r="Y9" i="1"/>
  <c r="X9" i="1"/>
  <c r="W9" i="1"/>
  <c r="AA13" i="1"/>
  <c r="Z13" i="1"/>
  <c r="Y13" i="1"/>
  <c r="X13" i="1"/>
  <c r="W13" i="1"/>
  <c r="AA19" i="1"/>
  <c r="AC22" i="1" s="1"/>
  <c r="Z19" i="1"/>
  <c r="Y19" i="1"/>
  <c r="X19" i="1"/>
  <c r="W19" i="1"/>
  <c r="AA23" i="1"/>
  <c r="Z23" i="1"/>
  <c r="Y23" i="1"/>
  <c r="X23" i="1"/>
  <c r="W23" i="1"/>
  <c r="AA29" i="1"/>
  <c r="Z29" i="1"/>
  <c r="Y29" i="1"/>
  <c r="X29" i="1"/>
  <c r="W29" i="1"/>
  <c r="AA32" i="1"/>
  <c r="Z32" i="1"/>
  <c r="Y32" i="1"/>
  <c r="X32" i="1"/>
  <c r="W32" i="1"/>
  <c r="AA35" i="1"/>
  <c r="AC44" i="1" s="1"/>
  <c r="Z35" i="1"/>
  <c r="Y35" i="1"/>
  <c r="X35" i="1"/>
  <c r="W35" i="1"/>
  <c r="AA47" i="1"/>
  <c r="Z47" i="1"/>
  <c r="Y47" i="1"/>
  <c r="X47" i="1"/>
  <c r="W47" i="1"/>
  <c r="AA51" i="1"/>
  <c r="Z51" i="1"/>
  <c r="Y51" i="1"/>
  <c r="X51" i="1"/>
  <c r="W51" i="1"/>
  <c r="AA56" i="1"/>
  <c r="AC58" i="1" s="1"/>
  <c r="Z56" i="1"/>
  <c r="Y56" i="1"/>
  <c r="AA59" i="1"/>
  <c r="Z59" i="1"/>
  <c r="Y59" i="1"/>
  <c r="X59" i="1"/>
  <c r="W59" i="1"/>
  <c r="AA70" i="1"/>
  <c r="AC75" i="1" s="1"/>
  <c r="Z70" i="1"/>
  <c r="Y70" i="1"/>
  <c r="X70" i="1"/>
  <c r="W70" i="1"/>
  <c r="AA87" i="1"/>
  <c r="Z87" i="1"/>
  <c r="Y87" i="1"/>
  <c r="X87" i="1"/>
  <c r="W87" i="1"/>
  <c r="AA83" i="1"/>
  <c r="Z83" i="1"/>
  <c r="Y83" i="1"/>
  <c r="X83" i="1"/>
  <c r="W83" i="1"/>
  <c r="AA78" i="1"/>
  <c r="Z78" i="1"/>
  <c r="Y78" i="1"/>
  <c r="X78" i="1"/>
  <c r="W78" i="1"/>
  <c r="AA76" i="1"/>
  <c r="AB76" i="1" s="1"/>
  <c r="Z76" i="1"/>
  <c r="Y76" i="1"/>
  <c r="X76" i="1"/>
  <c r="AA90" i="1"/>
  <c r="AB90" i="1" s="1"/>
  <c r="Z90" i="1"/>
  <c r="Y90" i="1"/>
  <c r="X90" i="1"/>
  <c r="W90" i="1"/>
  <c r="AA92" i="1"/>
  <c r="Z92" i="1"/>
  <c r="Y92" i="1"/>
  <c r="X92" i="1"/>
  <c r="W92" i="1"/>
  <c r="AA97" i="1"/>
  <c r="Z97" i="1"/>
  <c r="Y97" i="1"/>
  <c r="X97" i="1"/>
  <c r="W97" i="1"/>
  <c r="AA114" i="1"/>
  <c r="Z114" i="1"/>
  <c r="Y114" i="1"/>
  <c r="X114" i="1"/>
  <c r="W114" i="1"/>
  <c r="AA147" i="1"/>
  <c r="AC151" i="1" s="1"/>
  <c r="Z147" i="1"/>
  <c r="Y147" i="1"/>
  <c r="X147" i="1"/>
  <c r="W147" i="1"/>
  <c r="AA152" i="1"/>
  <c r="Z152" i="1"/>
  <c r="Y152" i="1"/>
  <c r="X152" i="1"/>
  <c r="W152" i="1"/>
  <c r="AA159" i="1"/>
  <c r="Z159" i="1"/>
  <c r="Y159" i="1"/>
  <c r="X159" i="1"/>
  <c r="W159" i="1"/>
  <c r="AA164" i="1"/>
  <c r="Z164" i="1"/>
  <c r="Y164" i="1"/>
  <c r="X164" i="1"/>
  <c r="W164" i="1"/>
  <c r="AA170" i="1"/>
  <c r="AC176" i="1" s="1"/>
  <c r="Z170" i="1"/>
  <c r="Y170" i="1"/>
  <c r="X170" i="1"/>
  <c r="W170" i="1"/>
  <c r="AA181" i="1"/>
  <c r="Z181" i="1"/>
  <c r="Y181" i="1"/>
  <c r="X181" i="1"/>
  <c r="W181" i="1"/>
  <c r="AA183" i="1"/>
  <c r="Z183" i="1"/>
  <c r="Y183" i="1"/>
  <c r="X183" i="1"/>
  <c r="W183" i="1"/>
  <c r="AA193" i="1"/>
  <c r="Z193" i="1"/>
  <c r="X193" i="1"/>
  <c r="W193" i="1"/>
  <c r="AA198" i="1"/>
  <c r="Z198" i="1"/>
  <c r="Y198" i="1"/>
  <c r="X198" i="1"/>
  <c r="W198" i="1"/>
  <c r="AA203" i="1"/>
  <c r="AC211" i="1" s="1"/>
  <c r="Z203" i="1"/>
  <c r="Y203" i="1"/>
  <c r="X203" i="1"/>
  <c r="W203" i="1"/>
  <c r="AA220" i="1"/>
  <c r="Z220" i="1"/>
  <c r="Y220" i="1"/>
  <c r="X220" i="1"/>
  <c r="W220" i="1"/>
  <c r="AA223" i="1"/>
  <c r="Z223" i="1"/>
  <c r="Y223" i="1"/>
  <c r="X223" i="1"/>
  <c r="W223" i="1"/>
  <c r="AA227" i="1"/>
  <c r="Z227" i="1"/>
  <c r="Y227" i="1"/>
  <c r="X227" i="1"/>
  <c r="W227" i="1"/>
  <c r="AA231" i="1"/>
  <c r="AC232" i="1" s="1"/>
  <c r="Z231" i="1"/>
  <c r="Y231" i="1"/>
  <c r="X231" i="1"/>
  <c r="W231" i="1"/>
  <c r="AA236" i="1"/>
  <c r="Z236" i="1"/>
  <c r="Y236" i="1"/>
  <c r="X236" i="1"/>
  <c r="W236" i="1"/>
  <c r="AA239" i="1"/>
  <c r="Z239" i="1"/>
  <c r="Y239" i="1"/>
  <c r="X239" i="1"/>
  <c r="W239" i="1"/>
  <c r="X258" i="1"/>
  <c r="W258" i="1"/>
  <c r="X58" i="1"/>
  <c r="X56" i="1" s="1"/>
  <c r="W58" i="1"/>
  <c r="W56" i="1"/>
  <c r="AB68" i="1"/>
  <c r="AC202" i="1"/>
  <c r="AC201" i="1"/>
  <c r="AC200" i="1"/>
  <c r="AC199" i="1"/>
  <c r="AC197" i="1"/>
  <c r="AC194" i="1"/>
  <c r="AC195" i="1"/>
  <c r="AC196" i="1"/>
  <c r="AC178" i="1"/>
  <c r="AC172" i="1"/>
  <c r="AC150" i="1"/>
  <c r="AC95" i="1"/>
  <c r="AC94" i="1"/>
  <c r="AC93" i="1"/>
  <c r="AC88" i="1"/>
  <c r="AC89" i="1"/>
  <c r="AC50" i="1"/>
  <c r="AC48" i="1"/>
  <c r="AC49" i="1"/>
  <c r="AC27" i="1"/>
  <c r="AC24" i="1"/>
  <c r="AC28" i="1"/>
  <c r="AC25" i="1"/>
  <c r="AC26" i="1"/>
  <c r="AC30" i="1"/>
  <c r="AC31" i="1"/>
  <c r="AC230" i="1"/>
  <c r="AC229" i="1"/>
  <c r="AC228" i="1"/>
  <c r="AC250" i="1"/>
  <c r="AC252" i="1"/>
  <c r="AC248" i="1"/>
  <c r="AC244" i="1"/>
  <c r="AC241" i="1"/>
  <c r="AC251" i="1"/>
  <c r="AC247" i="1"/>
  <c r="AC243" i="1"/>
  <c r="AC246" i="1"/>
  <c r="AC245" i="1"/>
  <c r="AC242" i="1"/>
  <c r="AC249" i="1"/>
  <c r="AC240" i="1"/>
  <c r="AC226" i="1"/>
  <c r="AC224" i="1"/>
  <c r="AC225" i="1"/>
  <c r="AC184" i="1"/>
  <c r="AC185" i="1"/>
  <c r="AC168" i="1"/>
  <c r="AC165" i="1"/>
  <c r="AC167" i="1"/>
  <c r="AC166" i="1"/>
  <c r="AC169" i="1"/>
  <c r="AC141" i="1"/>
  <c r="AC137" i="1"/>
  <c r="AC133" i="1"/>
  <c r="AC129" i="1"/>
  <c r="AC125" i="1"/>
  <c r="AC119" i="1"/>
  <c r="AC143" i="1"/>
  <c r="AC139" i="1"/>
  <c r="AC135" i="1"/>
  <c r="AC131" i="1"/>
  <c r="AC127" i="1"/>
  <c r="AC123" i="1"/>
  <c r="AC115" i="1"/>
  <c r="AC142" i="1"/>
  <c r="AC138" i="1"/>
  <c r="AC134" i="1"/>
  <c r="AC130" i="1"/>
  <c r="AC126" i="1"/>
  <c r="AC122" i="1"/>
  <c r="AC140" i="1"/>
  <c r="AC124" i="1"/>
  <c r="AC136" i="1"/>
  <c r="AC116" i="1"/>
  <c r="AC132" i="1"/>
  <c r="AC128" i="1"/>
  <c r="AC72" i="1"/>
  <c r="AC40" i="1"/>
  <c r="AC41" i="1"/>
  <c r="AC36" i="1"/>
  <c r="AC12" i="1"/>
  <c r="AC11" i="1"/>
  <c r="AC10" i="1"/>
  <c r="AC255" i="1"/>
  <c r="AC234" i="1"/>
  <c r="AC207" i="1"/>
  <c r="AC216" i="1"/>
  <c r="AC218" i="1"/>
  <c r="AC157" i="1"/>
  <c r="AC155" i="1"/>
  <c r="AC153" i="1"/>
  <c r="AC158" i="1"/>
  <c r="AC156" i="1"/>
  <c r="AC154" i="1"/>
  <c r="AC86" i="1"/>
  <c r="AC85" i="1"/>
  <c r="AC84" i="1"/>
  <c r="AC62" i="1"/>
  <c r="AC60" i="1"/>
  <c r="AC63" i="1"/>
  <c r="AC61" i="1"/>
  <c r="AC54" i="1"/>
  <c r="AC55" i="1"/>
  <c r="AC53" i="1"/>
  <c r="AC52" i="1"/>
  <c r="AC4" i="1"/>
  <c r="AC238" i="1"/>
  <c r="AC237" i="1"/>
  <c r="AC222" i="1"/>
  <c r="AC221" i="1"/>
  <c r="AC162" i="1"/>
  <c r="AC163" i="1"/>
  <c r="AC161" i="1"/>
  <c r="AC160" i="1"/>
  <c r="AC111" i="1"/>
  <c r="AC107" i="1"/>
  <c r="AC103" i="1"/>
  <c r="AC109" i="1"/>
  <c r="AC105" i="1"/>
  <c r="AC112" i="1"/>
  <c r="AC108" i="1"/>
  <c r="AC104" i="1"/>
  <c r="AC110" i="1"/>
  <c r="AC106" i="1"/>
  <c r="AC101" i="1"/>
  <c r="AC102" i="1"/>
  <c r="AC100" i="1"/>
  <c r="AC82" i="1"/>
  <c r="AC79" i="1"/>
  <c r="AC81" i="1"/>
  <c r="AC80" i="1"/>
  <c r="AC69" i="1"/>
  <c r="AC66" i="1"/>
  <c r="AC68" i="1"/>
  <c r="AC67" i="1"/>
  <c r="AC33" i="1"/>
  <c r="AC34" i="1"/>
  <c r="AC7" i="1"/>
  <c r="AC8" i="1"/>
  <c r="AB172" i="1"/>
  <c r="AB252" i="1"/>
  <c r="AB245" i="1"/>
  <c r="AB244" i="1"/>
  <c r="AB243" i="1"/>
  <c r="AB242" i="1"/>
  <c r="AB241" i="1"/>
  <c r="AB196" i="1"/>
  <c r="AB31" i="1"/>
  <c r="AB18" i="1"/>
  <c r="AB17" i="1"/>
  <c r="AB22" i="1"/>
  <c r="AB20" i="1"/>
  <c r="AB28" i="1"/>
  <c r="AB27" i="1"/>
  <c r="AB26" i="1"/>
  <c r="AB25" i="1"/>
  <c r="AB24" i="1"/>
  <c r="AB30" i="1"/>
  <c r="AB34" i="1"/>
  <c r="AB33" i="1"/>
  <c r="AB46" i="1"/>
  <c r="AB45" i="1"/>
  <c r="AB44" i="1"/>
  <c r="AB43" i="1"/>
  <c r="AB42" i="1"/>
  <c r="AB41" i="1"/>
  <c r="AB38" i="1"/>
  <c r="AB37" i="1"/>
  <c r="AB36" i="1"/>
  <c r="AB50" i="1"/>
  <c r="AB49" i="1"/>
  <c r="AB48" i="1"/>
  <c r="AB55" i="1"/>
  <c r="AB54" i="1"/>
  <c r="AB53" i="1"/>
  <c r="AB52" i="1"/>
  <c r="AB58" i="1"/>
  <c r="AB57" i="1"/>
  <c r="AB63" i="1"/>
  <c r="AB62" i="1"/>
  <c r="AB61" i="1"/>
  <c r="AB60" i="1"/>
  <c r="AB69" i="1"/>
  <c r="AB67" i="1"/>
  <c r="AB66" i="1"/>
  <c r="AB75" i="1"/>
  <c r="AB74" i="1"/>
  <c r="AB73" i="1"/>
  <c r="AB72" i="1"/>
  <c r="AB71" i="1"/>
  <c r="AB82" i="1"/>
  <c r="AB81" i="1"/>
  <c r="AB80" i="1"/>
  <c r="AB79" i="1"/>
  <c r="AB86" i="1"/>
  <c r="AB85" i="1"/>
  <c r="AB84" i="1"/>
  <c r="AB89" i="1"/>
  <c r="AB88" i="1"/>
  <c r="AB95" i="1"/>
  <c r="AB94" i="1"/>
  <c r="AB93" i="1"/>
  <c r="AB112" i="1"/>
  <c r="AB111" i="1"/>
  <c r="AB110" i="1"/>
  <c r="AB109" i="1"/>
  <c r="AB105" i="1"/>
  <c r="AB104" i="1"/>
  <c r="AB103" i="1"/>
  <c r="AB102" i="1"/>
  <c r="AB101" i="1"/>
  <c r="AB100" i="1"/>
  <c r="AB151" i="1"/>
  <c r="AB150" i="1"/>
  <c r="AB149" i="1"/>
  <c r="AB148" i="1"/>
  <c r="AB158" i="1"/>
  <c r="AB157" i="1"/>
  <c r="AB156" i="1"/>
  <c r="AB155" i="1"/>
  <c r="AB154" i="1"/>
  <c r="AB163" i="1"/>
  <c r="AB162" i="1"/>
  <c r="AB161" i="1"/>
  <c r="AB160" i="1"/>
  <c r="AB169" i="1"/>
  <c r="AB168" i="1"/>
  <c r="AB167" i="1"/>
  <c r="AB166" i="1"/>
  <c r="AB165" i="1"/>
  <c r="AB180" i="1"/>
  <c r="AB179" i="1"/>
  <c r="AB178" i="1"/>
  <c r="AB177" i="1"/>
  <c r="AB176" i="1"/>
  <c r="AB175" i="1"/>
  <c r="AB174" i="1"/>
  <c r="AB173" i="1"/>
  <c r="AB171" i="1"/>
  <c r="AB185" i="1"/>
  <c r="AB184" i="1"/>
  <c r="AB195" i="1"/>
  <c r="AB194" i="1"/>
  <c r="AB202" i="1"/>
  <c r="AB201" i="1"/>
  <c r="AB200" i="1"/>
  <c r="AB199" i="1"/>
  <c r="AB219" i="1"/>
  <c r="AB218" i="1"/>
  <c r="AB217" i="1"/>
  <c r="AB216" i="1"/>
  <c r="AB211" i="1"/>
  <c r="AB210" i="1"/>
  <c r="AB209" i="1"/>
  <c r="AB208" i="1"/>
  <c r="AB207" i="1"/>
  <c r="AB206" i="1"/>
  <c r="AB205" i="1"/>
  <c r="AB204" i="1"/>
  <c r="AB222" i="1"/>
  <c r="AB221" i="1"/>
  <c r="AB226" i="1"/>
  <c r="AB225" i="1"/>
  <c r="AB224" i="1"/>
  <c r="AB230" i="1"/>
  <c r="AB229" i="1"/>
  <c r="AB228" i="1"/>
  <c r="AB235" i="1"/>
  <c r="AB234" i="1"/>
  <c r="AB233" i="1"/>
  <c r="AB232" i="1"/>
  <c r="AB238" i="1"/>
  <c r="AB237" i="1"/>
  <c r="AB251" i="1"/>
  <c r="AB250" i="1"/>
  <c r="AB248" i="1"/>
  <c r="AB247" i="1"/>
  <c r="AB246" i="1"/>
  <c r="AB257" i="1"/>
  <c r="AB256" i="1"/>
  <c r="AB255" i="1"/>
  <c r="AB254" i="1"/>
  <c r="AB258" i="1"/>
  <c r="AB239" i="1"/>
  <c r="AB236" i="1"/>
  <c r="AB231" i="1"/>
  <c r="AB227" i="1"/>
  <c r="AB223" i="1"/>
  <c r="AB220" i="1"/>
  <c r="AB203" i="1"/>
  <c r="AB198" i="1"/>
  <c r="AB193" i="1"/>
  <c r="AB186" i="1"/>
  <c r="AB183" i="1"/>
  <c r="AB181" i="1"/>
  <c r="AB164" i="1"/>
  <c r="AB159" i="1"/>
  <c r="AB114" i="1"/>
  <c r="AB99" i="1"/>
  <c r="AB97" i="1"/>
  <c r="AB92" i="1"/>
  <c r="AB87" i="1"/>
  <c r="AB83" i="1"/>
  <c r="AB78" i="1"/>
  <c r="AB64" i="1"/>
  <c r="AB59" i="1"/>
  <c r="AB51" i="1"/>
  <c r="AB47" i="1"/>
  <c r="AB32" i="1"/>
  <c r="AB29" i="1"/>
  <c r="AB23" i="1"/>
  <c r="AB13" i="1"/>
  <c r="AB12" i="1"/>
  <c r="AB11" i="1"/>
  <c r="AB10" i="1"/>
  <c r="AB9" i="1"/>
  <c r="AB8" i="1"/>
  <c r="AB7" i="1"/>
  <c r="AB6" i="1"/>
  <c r="AB5" i="1"/>
  <c r="AB4" i="1"/>
  <c r="S144" i="1"/>
  <c r="S145" i="1"/>
  <c r="S146" i="1"/>
  <c r="I220" i="1"/>
  <c r="H220" i="1"/>
  <c r="G220" i="1"/>
  <c r="AB152" i="1"/>
  <c r="V147" i="1" l="1"/>
  <c r="T147" i="1"/>
  <c r="U35" i="1"/>
  <c r="S35" i="1"/>
  <c r="V114" i="1"/>
  <c r="T114" i="1"/>
  <c r="T92" i="1"/>
  <c r="V92" i="1"/>
  <c r="T15" i="1"/>
  <c r="V15" i="1"/>
  <c r="V223" i="1"/>
  <c r="T223" i="1"/>
  <c r="S19" i="1"/>
  <c r="T19" i="1"/>
  <c r="AB58" i="5"/>
  <c r="W56" i="5"/>
  <c r="AB56" i="5" s="1"/>
  <c r="AF57" i="5" s="1"/>
  <c r="U198" i="5"/>
  <c r="V198" i="5"/>
  <c r="R198" i="5"/>
  <c r="U258" i="5"/>
  <c r="R258" i="5"/>
  <c r="V258" i="5"/>
  <c r="AB56" i="1"/>
  <c r="AB170" i="1"/>
  <c r="AC57" i="1"/>
  <c r="AC210" i="1"/>
  <c r="AC209" i="1"/>
  <c r="AC219" i="1"/>
  <c r="AC235" i="1"/>
  <c r="AC257" i="1"/>
  <c r="AC20" i="1"/>
  <c r="AC38" i="1"/>
  <c r="AC42" i="1"/>
  <c r="AC73" i="1"/>
  <c r="AC74" i="1"/>
  <c r="AC148" i="1"/>
  <c r="AC171" i="1"/>
  <c r="AC177" i="1"/>
  <c r="AC180" i="1"/>
  <c r="AC187" i="1"/>
  <c r="L261" i="1"/>
  <c r="T59" i="1"/>
  <c r="T258" i="1"/>
  <c r="T198" i="1"/>
  <c r="T239" i="1"/>
  <c r="T97" i="1"/>
  <c r="AF137" i="5"/>
  <c r="AF134" i="5"/>
  <c r="AF133" i="5"/>
  <c r="AF131" i="5"/>
  <c r="AF129" i="5"/>
  <c r="AF136" i="5"/>
  <c r="AF55" i="5"/>
  <c r="AF150" i="5"/>
  <c r="AF148" i="5"/>
  <c r="AC154" i="5"/>
  <c r="AC155" i="5"/>
  <c r="T223" i="5"/>
  <c r="AC39" i="5"/>
  <c r="AC42" i="5"/>
  <c r="AC46" i="5"/>
  <c r="AC36" i="5"/>
  <c r="AC45" i="5"/>
  <c r="AC40" i="5"/>
  <c r="S35" i="5"/>
  <c r="U35" i="5"/>
  <c r="AC82" i="5"/>
  <c r="AC81" i="5"/>
  <c r="AC80" i="5"/>
  <c r="AB78" i="5"/>
  <c r="S99" i="5"/>
  <c r="T5" i="5"/>
  <c r="S5" i="5"/>
  <c r="S227" i="5"/>
  <c r="T227" i="5"/>
  <c r="R253" i="5"/>
  <c r="S253" i="5" s="1"/>
  <c r="U253" i="5"/>
  <c r="R83" i="1"/>
  <c r="U83" i="1"/>
  <c r="AB3" i="1"/>
  <c r="AB19" i="1"/>
  <c r="AB35" i="1"/>
  <c r="AB147" i="1"/>
  <c r="AB253" i="1"/>
  <c r="AC205" i="1"/>
  <c r="AC208" i="1"/>
  <c r="AC217" i="1"/>
  <c r="AC233" i="1"/>
  <c r="AC254" i="1"/>
  <c r="AC43" i="1"/>
  <c r="AC46" i="1"/>
  <c r="AC71" i="1"/>
  <c r="AC149" i="1"/>
  <c r="AC179" i="1"/>
  <c r="AC174" i="1"/>
  <c r="AC39" i="1"/>
  <c r="Y193" i="1"/>
  <c r="K261" i="1"/>
  <c r="AF122" i="5"/>
  <c r="AF138" i="5"/>
  <c r="AF141" i="5"/>
  <c r="AF135" i="5"/>
  <c r="AF124" i="5"/>
  <c r="AF140" i="5"/>
  <c r="AF115" i="5"/>
  <c r="AF73" i="5"/>
  <c r="AC153" i="5"/>
  <c r="T70" i="5"/>
  <c r="AF60" i="5"/>
  <c r="AF6" i="5"/>
  <c r="AB18" i="5"/>
  <c r="AC75" i="5"/>
  <c r="AC72" i="5"/>
  <c r="AC74" i="5"/>
  <c r="AC71" i="5"/>
  <c r="AC88" i="5"/>
  <c r="AB87" i="5"/>
  <c r="AC89" i="5"/>
  <c r="AB97" i="5"/>
  <c r="AF98" i="5" s="1"/>
  <c r="V152" i="5"/>
  <c r="T152" i="5"/>
  <c r="S159" i="5"/>
  <c r="T159" i="5"/>
  <c r="AC180" i="5"/>
  <c r="AC175" i="5"/>
  <c r="AC177" i="5"/>
  <c r="V29" i="5"/>
  <c r="T29" i="5"/>
  <c r="AC166" i="5"/>
  <c r="AB164" i="5"/>
  <c r="AF168" i="5" s="1"/>
  <c r="AC169" i="5"/>
  <c r="V253" i="5"/>
  <c r="T253" i="5"/>
  <c r="R193" i="1"/>
  <c r="U193" i="1"/>
  <c r="L51" i="5"/>
  <c r="K261" i="5"/>
  <c r="T76" i="5"/>
  <c r="V76" i="5"/>
  <c r="AB70" i="1"/>
  <c r="AC206" i="1"/>
  <c r="AC204" i="1"/>
  <c r="AC37" i="1"/>
  <c r="AC45" i="1"/>
  <c r="AC175" i="1"/>
  <c r="AC173" i="1"/>
  <c r="AC190" i="1"/>
  <c r="V193" i="1"/>
  <c r="AF119" i="5"/>
  <c r="AF130" i="5"/>
  <c r="AF125" i="5"/>
  <c r="AF127" i="5"/>
  <c r="AF143" i="5"/>
  <c r="AF62" i="5"/>
  <c r="T14" i="5"/>
  <c r="AF221" i="5"/>
  <c r="AC156" i="5"/>
  <c r="AC165" i="5"/>
  <c r="AC157" i="5"/>
  <c r="V87" i="5"/>
  <c r="S18" i="5"/>
  <c r="AB152" i="5"/>
  <c r="U227" i="1"/>
  <c r="R12" i="5"/>
  <c r="V12" i="5"/>
  <c r="AC63" i="5"/>
  <c r="AC62" i="5"/>
  <c r="AF65" i="5"/>
  <c r="AF69" i="5"/>
  <c r="AF68" i="5"/>
  <c r="AF66" i="5"/>
  <c r="AC125" i="5"/>
  <c r="AC129" i="5"/>
  <c r="AC141" i="5"/>
  <c r="T147" i="5"/>
  <c r="V147" i="5"/>
  <c r="AF256" i="5"/>
  <c r="V32" i="5"/>
  <c r="T32" i="5"/>
  <c r="AF217" i="5"/>
  <c r="AF219" i="5"/>
  <c r="AF215" i="5"/>
  <c r="T12" i="5" l="1"/>
  <c r="S12" i="5"/>
  <c r="V51" i="5"/>
  <c r="T51" i="5"/>
  <c r="T258" i="5"/>
  <c r="S258" i="5"/>
  <c r="AF88" i="5"/>
  <c r="AF89" i="5"/>
  <c r="AF81" i="5"/>
  <c r="AF79" i="5"/>
  <c r="AF80" i="5"/>
  <c r="AF20" i="5"/>
  <c r="AF19" i="5"/>
  <c r="AF153" i="5"/>
  <c r="AF156" i="5"/>
  <c r="AF158" i="5"/>
  <c r="AF154" i="5"/>
  <c r="AF155" i="5"/>
  <c r="S193" i="1"/>
  <c r="T193" i="1"/>
  <c r="AF169" i="5"/>
  <c r="AF167" i="5"/>
  <c r="AF165" i="5"/>
  <c r="AF166" i="5"/>
  <c r="T83" i="1"/>
  <c r="S83" i="1"/>
  <c r="AF82" i="5"/>
  <c r="S198" i="5"/>
  <c r="T198" i="5"/>
  <c r="AF58" i="5"/>
  <c r="AF157" i="5"/>
</calcChain>
</file>

<file path=xl/sharedStrings.xml><?xml version="1.0" encoding="utf-8"?>
<sst xmlns="http://schemas.openxmlformats.org/spreadsheetml/2006/main" count="3099" uniqueCount="524">
  <si>
    <t>Roll_Up</t>
  </si>
  <si>
    <t>Accountancy</t>
  </si>
  <si>
    <t>Bloch School of Management</t>
  </si>
  <si>
    <t>Adv Educ in General Dentistry</t>
  </si>
  <si>
    <t>School of Dentistry</t>
  </si>
  <si>
    <t>Architecture and Urban Planning and Design</t>
  </si>
  <si>
    <t>College of Arts &amp; Sciences</t>
  </si>
  <si>
    <t>Art</t>
  </si>
  <si>
    <t>Biology General</t>
  </si>
  <si>
    <t>School of Biol and Chem Sci</t>
  </si>
  <si>
    <t>Biomedical/Health Informatics</t>
  </si>
  <si>
    <t>School of Medicine</t>
  </si>
  <si>
    <t>Business Administration</t>
  </si>
  <si>
    <t>Chemistry</t>
  </si>
  <si>
    <t>Civil &amp; Mechanical Engineering</t>
  </si>
  <si>
    <t>School of Computing &amp; Engineer</t>
  </si>
  <si>
    <t>Communications Studies</t>
  </si>
  <si>
    <t>Comp Sci &amp; Elect Engr</t>
  </si>
  <si>
    <t>Cookingham Institute</t>
  </si>
  <si>
    <t>Counseling and Counseling Psychology</t>
  </si>
  <si>
    <t>School of Education</t>
  </si>
  <si>
    <t>Criminal Justice &amp; Criminology</t>
  </si>
  <si>
    <t>Dance</t>
  </si>
  <si>
    <t>Conservatory</t>
  </si>
  <si>
    <t>Dental Hygiene</t>
  </si>
  <si>
    <t>Earth and Environmental Sciences</t>
  </si>
  <si>
    <t>Economics</t>
  </si>
  <si>
    <t>Educational Leadership &amp; Policy Foundations</t>
  </si>
  <si>
    <t>Endodontics</t>
  </si>
  <si>
    <t>English</t>
  </si>
  <si>
    <t>Finance</t>
  </si>
  <si>
    <t>Foreign Languages</t>
  </si>
  <si>
    <t>Global Entrepreneurship</t>
  </si>
  <si>
    <t>Grad Health Professions in Med</t>
  </si>
  <si>
    <t>History</t>
  </si>
  <si>
    <t>KA&amp;S - General</t>
  </si>
  <si>
    <t>Law General</t>
  </si>
  <si>
    <t>School of Law</t>
  </si>
  <si>
    <t>Mathematics and Statistics</t>
  </si>
  <si>
    <t>Medicine - General</t>
  </si>
  <si>
    <t>Music Studies</t>
  </si>
  <si>
    <t>Nursing General</t>
  </si>
  <si>
    <t>School of Nursing &amp; Health St</t>
  </si>
  <si>
    <t>Oral and Craniofacial Sciences</t>
  </si>
  <si>
    <t>Performance Studies</t>
  </si>
  <si>
    <t>Periodontics</t>
  </si>
  <si>
    <t>Pharmacy - General</t>
  </si>
  <si>
    <t>School of Pharmacy</t>
  </si>
  <si>
    <t>Philosophy</t>
  </si>
  <si>
    <t>Physics</t>
  </si>
  <si>
    <t>Political Science</t>
  </si>
  <si>
    <t>Psychology</t>
  </si>
  <si>
    <t>Restorative Clinical Sciences</t>
  </si>
  <si>
    <t>Social Work</t>
  </si>
  <si>
    <t>Sociology</t>
  </si>
  <si>
    <t>Teacher Education and Curriculum Studies</t>
  </si>
  <si>
    <t>Theater</t>
  </si>
  <si>
    <t>University College</t>
  </si>
  <si>
    <t>DENT</t>
  </si>
  <si>
    <t>PROF</t>
  </si>
  <si>
    <t>Dentistry DDS</t>
  </si>
  <si>
    <t>DENT-DDS</t>
  </si>
  <si>
    <t>GRAD</t>
  </si>
  <si>
    <t>DISCIPLINE</t>
  </si>
  <si>
    <t>Art History iPhD</t>
  </si>
  <si>
    <t>CD-ART-HIS</t>
  </si>
  <si>
    <t>Biomedical &amp; Hlth Informatics</t>
  </si>
  <si>
    <t>CD-BIO-HLT</t>
  </si>
  <si>
    <t>Cell Biology &amp; Biophysics iPhD</t>
  </si>
  <si>
    <t>CD-CELLBIO</t>
  </si>
  <si>
    <t>Chemistry iPhD</t>
  </si>
  <si>
    <t>CD-CHEM</t>
  </si>
  <si>
    <t>Computer Net  &amp; Comm Syst iPhD</t>
  </si>
  <si>
    <t>CD-CNCS</t>
  </si>
  <si>
    <t>Computer Science iPHD</t>
  </si>
  <si>
    <t>CD-CMPINFO</t>
  </si>
  <si>
    <t>Curriculum &amp; Instruction iPhD</t>
  </si>
  <si>
    <t>CD-CI-IPHD</t>
  </si>
  <si>
    <t>Economics iPhD</t>
  </si>
  <si>
    <t>CD-ECON</t>
  </si>
  <si>
    <t>Ed Ldrship &amp; Policy Fndt iPhD</t>
  </si>
  <si>
    <t>CD-URBLDR</t>
  </si>
  <si>
    <t>Elect &amp; Comp Eng iPhD</t>
  </si>
  <si>
    <t>CD-ECE</t>
  </si>
  <si>
    <t>Engineering iPhD</t>
  </si>
  <si>
    <t>CD-ENGR</t>
  </si>
  <si>
    <t>SCE - General</t>
  </si>
  <si>
    <t>English iPhD</t>
  </si>
  <si>
    <t>CD-ENGLISH</t>
  </si>
  <si>
    <t>Geosciences iPhD</t>
  </si>
  <si>
    <t>CD-GEOSCI</t>
  </si>
  <si>
    <t>History iPhD</t>
  </si>
  <si>
    <t>CD-HIST</t>
  </si>
  <si>
    <t>Mathematics iPhD</t>
  </si>
  <si>
    <t>CD-MATH</t>
  </si>
  <si>
    <t>Mol. Biol &amp; Biochemistry iPhD</t>
  </si>
  <si>
    <t>CD-MOLBIOC</t>
  </si>
  <si>
    <t>Music Education iPhD</t>
  </si>
  <si>
    <t>CD-MUSICED</t>
  </si>
  <si>
    <t>Oral &amp; Craniofacial Sci iPhD</t>
  </si>
  <si>
    <t>CD-ORALBIO</t>
  </si>
  <si>
    <t>Pharmaceutical Science iPhD</t>
  </si>
  <si>
    <t>CD-PHARMSC</t>
  </si>
  <si>
    <t>Pharmacology iPhD</t>
  </si>
  <si>
    <t>CD-PHARM</t>
  </si>
  <si>
    <t>Physics iPhD</t>
  </si>
  <si>
    <t>CD-PHYSICS</t>
  </si>
  <si>
    <t>Political Science iPhD</t>
  </si>
  <si>
    <t>CD-POLSCI</t>
  </si>
  <si>
    <t>Public Affairs &amp; Admin iPhD</t>
  </si>
  <si>
    <t>CD-PUBAFFS</t>
  </si>
  <si>
    <t>Religious Studies iPhD</t>
  </si>
  <si>
    <t>CD-RELGST</t>
  </si>
  <si>
    <t>Sociology iPhD</t>
  </si>
  <si>
    <t>CD-SOCIO</t>
  </si>
  <si>
    <t>Telecom &amp; Comp Networking iPhD</t>
  </si>
  <si>
    <t>CD-TELCMPN</t>
  </si>
  <si>
    <t>DOCTORAL</t>
  </si>
  <si>
    <t>Conducting DMA</t>
  </si>
  <si>
    <t>CND-DMA-IN</t>
  </si>
  <si>
    <t>CND-DMA-V</t>
  </si>
  <si>
    <t>Counseling Psychology PhD</t>
  </si>
  <si>
    <t>CNS-PS-PHD</t>
  </si>
  <si>
    <t>Education EdD</t>
  </si>
  <si>
    <t>EDUC-EDD</t>
  </si>
  <si>
    <t>Entrepreneurship &amp; Innov - PhD</t>
  </si>
  <si>
    <t>ENT-IN-PHD</t>
  </si>
  <si>
    <t>Music Composition DMA</t>
  </si>
  <si>
    <t>M-COMP-DMA</t>
  </si>
  <si>
    <t>Nursing PhD</t>
  </si>
  <si>
    <t>NURSE-PHD</t>
  </si>
  <si>
    <t>Nursing Practice - DNP</t>
  </si>
  <si>
    <t>NURSE-DNP</t>
  </si>
  <si>
    <t>Performance-DMA</t>
  </si>
  <si>
    <t>PERF-DMA-I</t>
  </si>
  <si>
    <t>PERF-DMA-K</t>
  </si>
  <si>
    <t>PERF-DMA-V</t>
  </si>
  <si>
    <t>Psychology PhD</t>
  </si>
  <si>
    <t>PSYCH-PHD</t>
  </si>
  <si>
    <t>EDSPEC</t>
  </si>
  <si>
    <t>Counseling EDSP</t>
  </si>
  <si>
    <t>COUNS-EDSP</t>
  </si>
  <si>
    <t>Curriculum &amp; Instruction EDSP</t>
  </si>
  <si>
    <t>C-&amp;-I-EDSP</t>
  </si>
  <si>
    <t>Educational Administration EDS</t>
  </si>
  <si>
    <t>ED-ADM-EDS</t>
  </si>
  <si>
    <t>Language and Literacy EdSp</t>
  </si>
  <si>
    <t>LNGLIT-EDS</t>
  </si>
  <si>
    <t>GR-CT</t>
  </si>
  <si>
    <t>Acute Ped Care Nurs Prct CT</t>
  </si>
  <si>
    <t>N-APCNP-CT</t>
  </si>
  <si>
    <t>Clinical Research Certificate</t>
  </si>
  <si>
    <t>CLINICRECH</t>
  </si>
  <si>
    <t>College Tch &amp; Career Prep - CT</t>
  </si>
  <si>
    <t>CTAC</t>
  </si>
  <si>
    <t>School of Graduate Studies</t>
  </si>
  <si>
    <t>Ct in Ad. Ed.in Gen  Dent</t>
  </si>
  <si>
    <t>AD-E-DN-GR</t>
  </si>
  <si>
    <t>Ct in Endodontics</t>
  </si>
  <si>
    <t>ENDO-GR-CT</t>
  </si>
  <si>
    <t>Ct in Periodontics</t>
  </si>
  <si>
    <t>PERIO-GR-C</t>
  </si>
  <si>
    <t>Engr &amp; Const Project Mgt CT</t>
  </si>
  <si>
    <t>ENG-CNS-CT</t>
  </si>
  <si>
    <t>Family Nurse Practitioner CT</t>
  </si>
  <si>
    <t>N-FNP-CT</t>
  </si>
  <si>
    <t>Geographic Info Systems - CT</t>
  </si>
  <si>
    <t>GIS-G-CT</t>
  </si>
  <si>
    <t>Gerontology - CT</t>
  </si>
  <si>
    <t>GERON-CT</t>
  </si>
  <si>
    <t>Health Professions Educ CT</t>
  </si>
  <si>
    <t>HPE-CT</t>
  </si>
  <si>
    <t>Intrdsc Ldrshp Disable Stdy Ct</t>
  </si>
  <si>
    <t>I-L-D-S-C</t>
  </si>
  <si>
    <t>Music - Artist's Certificate</t>
  </si>
  <si>
    <t>ARTST-CT-I</t>
  </si>
  <si>
    <t>ARTST-CT-K</t>
  </si>
  <si>
    <t>ARTST-CT-V</t>
  </si>
  <si>
    <t>Neonatal Nurse Practitioner CT</t>
  </si>
  <si>
    <t>N-NNP-CT</t>
  </si>
  <si>
    <t>Nonprofit Mgmt and Innov - CT</t>
  </si>
  <si>
    <t>NPFTMGT-CT</t>
  </si>
  <si>
    <t>Nurse Educ Post Master's Ct</t>
  </si>
  <si>
    <t>NEPM</t>
  </si>
  <si>
    <t>Pediatric Nurse Practitioner C</t>
  </si>
  <si>
    <t>N-PNP-CT</t>
  </si>
  <si>
    <t>Performance Ct</t>
  </si>
  <si>
    <t>PERF-CT-I</t>
  </si>
  <si>
    <t>PERF-CT-V</t>
  </si>
  <si>
    <t>Psych Mental Hlth Prtnr Ct</t>
  </si>
  <si>
    <t>N-PMHNP-CT</t>
  </si>
  <si>
    <t>Reading Intervention CT</t>
  </si>
  <si>
    <t>READ-IN-CT</t>
  </si>
  <si>
    <t>Women's Hth Nurse Prtnr CT</t>
  </si>
  <si>
    <t>N-WHNP-CT</t>
  </si>
  <si>
    <t>MASTER</t>
  </si>
  <si>
    <t>Accounting MS</t>
  </si>
  <si>
    <t>ACCTNG-MS</t>
  </si>
  <si>
    <t>Anesthesia- MS</t>
  </si>
  <si>
    <t>ANESTHESIA</t>
  </si>
  <si>
    <t>Art History MA</t>
  </si>
  <si>
    <t>ART-HS-MA</t>
  </si>
  <si>
    <t>Bioinformatics - MS</t>
  </si>
  <si>
    <t>BIOINFO-MS</t>
  </si>
  <si>
    <t>Biology MA</t>
  </si>
  <si>
    <t>BIOL-MA</t>
  </si>
  <si>
    <t>Business Administration MBA</t>
  </si>
  <si>
    <t>BUS-AD-MBA</t>
  </si>
  <si>
    <t>Cell &amp; Molecular Biology MS</t>
  </si>
  <si>
    <t>C&amp;M-BIO-MS</t>
  </si>
  <si>
    <t>Chemistry MS</t>
  </si>
  <si>
    <t>CHEM-MS</t>
  </si>
  <si>
    <t>Civil Engineering MS</t>
  </si>
  <si>
    <t>CV-ENGR-MS</t>
  </si>
  <si>
    <t>Computer Science MS</t>
  </si>
  <si>
    <t>CMP-SC-MS</t>
  </si>
  <si>
    <t>Conducting MM</t>
  </si>
  <si>
    <t>COND-MM-IN</t>
  </si>
  <si>
    <t>COND-MM-V</t>
  </si>
  <si>
    <t>Counseling &amp; Guidance MA</t>
  </si>
  <si>
    <t>C-&amp;-G-MA</t>
  </si>
  <si>
    <t>Counseling - MA</t>
  </si>
  <si>
    <t>CONSL-MA</t>
  </si>
  <si>
    <t>Creative Wri &amp; Media Arts -MFA</t>
  </si>
  <si>
    <t>CRWMARTS</t>
  </si>
  <si>
    <t>Crim Justice &amp; Criminology-MS</t>
  </si>
  <si>
    <t>CR-JUST-MS</t>
  </si>
  <si>
    <t>Curriculum &amp; Instruction MA</t>
  </si>
  <si>
    <t>C-&amp;-I-MA</t>
  </si>
  <si>
    <t>Dental Hygiene Education MS</t>
  </si>
  <si>
    <t>D-HY-E-MS</t>
  </si>
  <si>
    <t>Economics MA</t>
  </si>
  <si>
    <t>ECONOM-MA</t>
  </si>
  <si>
    <t>Educational Administration MA</t>
  </si>
  <si>
    <t>ED-ADM-MA</t>
  </si>
  <si>
    <t>Electrical Engineering MS</t>
  </si>
  <si>
    <t>EL-ENG-MS</t>
  </si>
  <si>
    <t>English MA</t>
  </si>
  <si>
    <t>ENGLSH-MA</t>
  </si>
  <si>
    <t>Entrep Real Estate - MERE</t>
  </si>
  <si>
    <t>EN-RL-MERE</t>
  </si>
  <si>
    <t>Lewis White Real EstLewis White Real Estate Center</t>
  </si>
  <si>
    <t>Entrepreneurial Real Estate MS</t>
  </si>
  <si>
    <t>ERE-MS</t>
  </si>
  <si>
    <t>Environ &amp; Urban Geosciences MS</t>
  </si>
  <si>
    <t>E&amp;U-GEO-MS</t>
  </si>
  <si>
    <t>Finance - MS</t>
  </si>
  <si>
    <t>FINANCE-MS</t>
  </si>
  <si>
    <t>History MA</t>
  </si>
  <si>
    <t>HIST-MA</t>
  </si>
  <si>
    <t>Language and Literacy MA</t>
  </si>
  <si>
    <t>LNG&amp;LIT-MA</t>
  </si>
  <si>
    <t>Liberal Studies MA</t>
  </si>
  <si>
    <t>LIB-ST-MA</t>
  </si>
  <si>
    <t>Master of Health Prof Educ</t>
  </si>
  <si>
    <t>HLT-PF-E-M</t>
  </si>
  <si>
    <t>Master of Laws in Lawyering</t>
  </si>
  <si>
    <t>LLM-LAW</t>
  </si>
  <si>
    <t>Mathematics MS</t>
  </si>
  <si>
    <t>MATH-MS</t>
  </si>
  <si>
    <t>Mechanical Engineering MS</t>
  </si>
  <si>
    <t>MC-ENG-MS</t>
  </si>
  <si>
    <t>Music Composition MM</t>
  </si>
  <si>
    <t>M-COMP-MM</t>
  </si>
  <si>
    <t>Music Education MME</t>
  </si>
  <si>
    <t>M-EDUC-MME</t>
  </si>
  <si>
    <t>Music MA</t>
  </si>
  <si>
    <t>MUS-TH-MA</t>
  </si>
  <si>
    <t>MUSIC-MA-I</t>
  </si>
  <si>
    <t>MUSIC-MA-J</t>
  </si>
  <si>
    <t>MUSIC-MA-V</t>
  </si>
  <si>
    <t>Music Theory MM</t>
  </si>
  <si>
    <t>M-THRY-MM</t>
  </si>
  <si>
    <t>Musicology - MM</t>
  </si>
  <si>
    <t>MU-H&amp;L-MM</t>
  </si>
  <si>
    <t>Nursing MSN</t>
  </si>
  <si>
    <t>NURSE-MSN</t>
  </si>
  <si>
    <t>Oral &amp; Craniofacial Sciences</t>
  </si>
  <si>
    <t>OR-CRAN-MS</t>
  </si>
  <si>
    <t>Performance-MM</t>
  </si>
  <si>
    <t>PERF-MM-IN</t>
  </si>
  <si>
    <t>PERF-MM-K</t>
  </si>
  <si>
    <t>PERF-MM-V</t>
  </si>
  <si>
    <t>Physician Assistant  - MMS</t>
  </si>
  <si>
    <t>PHY-A-MMS</t>
  </si>
  <si>
    <t>Physics MS</t>
  </si>
  <si>
    <t>PHYSCS-MS</t>
  </si>
  <si>
    <t>Political Science MA</t>
  </si>
  <si>
    <t>POL-SC-MA</t>
  </si>
  <si>
    <t>Public Administration MPA</t>
  </si>
  <si>
    <t>PUB-AD-MPA</t>
  </si>
  <si>
    <t>Romance Languages &amp; Lit - MA</t>
  </si>
  <si>
    <t>ROMANC-MA</t>
  </si>
  <si>
    <t>Social Work MSW</t>
  </si>
  <si>
    <t>SOC-WK-MSW</t>
  </si>
  <si>
    <t>Sociology MA</t>
  </si>
  <si>
    <t>SOCIOL-MA</t>
  </si>
  <si>
    <t>Special Education MA</t>
  </si>
  <si>
    <t>SPC-ED-MA</t>
  </si>
  <si>
    <t>Statistics MS</t>
  </si>
  <si>
    <t>STAT-MS</t>
  </si>
  <si>
    <t>Studio Art MA</t>
  </si>
  <si>
    <t>STUDIO-MA</t>
  </si>
  <si>
    <t>Taxation LLM</t>
  </si>
  <si>
    <t>TAXATN-LLM</t>
  </si>
  <si>
    <t>Teaching-MA</t>
  </si>
  <si>
    <t>TEACH-MA</t>
  </si>
  <si>
    <t>Theatre MA</t>
  </si>
  <si>
    <t>THEAT-MA</t>
  </si>
  <si>
    <t>Theatre: Design &amp; Tech MFA</t>
  </si>
  <si>
    <t>TH:DE&amp;T-MF</t>
  </si>
  <si>
    <t>Theatre:Acting &amp; Directing-MFA</t>
  </si>
  <si>
    <t>TH:A&amp;DR-MF</t>
  </si>
  <si>
    <t>LAW</t>
  </si>
  <si>
    <t>Law JD</t>
  </si>
  <si>
    <t>LAW-JD</t>
  </si>
  <si>
    <t>MEDS</t>
  </si>
  <si>
    <t>Medicine-Md MD</t>
  </si>
  <si>
    <t>MED-MD</t>
  </si>
  <si>
    <t>PHAR</t>
  </si>
  <si>
    <t>PHARM-DP</t>
  </si>
  <si>
    <t>UGRD</t>
  </si>
  <si>
    <t>BACHELOR</t>
  </si>
  <si>
    <t>Accounting BS</t>
  </si>
  <si>
    <t>ACCTNG-BS</t>
  </si>
  <si>
    <t>Architectural Studies</t>
  </si>
  <si>
    <t>ENVD-XX-N</t>
  </si>
  <si>
    <t>Art History BA</t>
  </si>
  <si>
    <t>ART-HS-BA</t>
  </si>
  <si>
    <t>Biology BA</t>
  </si>
  <si>
    <t>BIOL-BA</t>
  </si>
  <si>
    <t>Biology BS</t>
  </si>
  <si>
    <t>BIOL-BS</t>
  </si>
  <si>
    <t>Business Administration BBA</t>
  </si>
  <si>
    <t>BUS-AD-BBA</t>
  </si>
  <si>
    <t>Chemistry BA</t>
  </si>
  <si>
    <t>CHEM-BA</t>
  </si>
  <si>
    <t>Chemistry BS</t>
  </si>
  <si>
    <t>CHEM-BS</t>
  </si>
  <si>
    <t>Civil Engineering BSCIE</t>
  </si>
  <si>
    <t>CV-ENGR-BS</t>
  </si>
  <si>
    <t>Communication Studies BA</t>
  </si>
  <si>
    <t>COM-ST-BA</t>
  </si>
  <si>
    <t>Computer Science BA</t>
  </si>
  <si>
    <t>CMP-SC-BA</t>
  </si>
  <si>
    <t>Computer Science BS</t>
  </si>
  <si>
    <t>CMP-SC-BS</t>
  </si>
  <si>
    <t>Crim Justice &amp; Criminology BA</t>
  </si>
  <si>
    <t>CR-JUST-BA</t>
  </si>
  <si>
    <t>Dance BFA</t>
  </si>
  <si>
    <t>DANCE-BFA</t>
  </si>
  <si>
    <t>Dental Hygiene BSDH</t>
  </si>
  <si>
    <t>DEN-HY-BSD</t>
  </si>
  <si>
    <t>Early Childhood Education BA</t>
  </si>
  <si>
    <t>EC-EDUC-BA</t>
  </si>
  <si>
    <t>Earth and Environmental Sci</t>
  </si>
  <si>
    <t>E-EN-SC-BS</t>
  </si>
  <si>
    <t>Economics BA</t>
  </si>
  <si>
    <t>ECONOM-BA</t>
  </si>
  <si>
    <t>Electrical &amp; Comp Engr - BS</t>
  </si>
  <si>
    <t>ECE-BS</t>
  </si>
  <si>
    <t>Elementary Education BA</t>
  </si>
  <si>
    <t>ELM-ED-BA</t>
  </si>
  <si>
    <t>English BA</t>
  </si>
  <si>
    <t>ENGLSH-BA</t>
  </si>
  <si>
    <t>Environmental Science BS</t>
  </si>
  <si>
    <t>ENV-ST-BS</t>
  </si>
  <si>
    <t>Environmental Studies BA</t>
  </si>
  <si>
    <t>ENV-ST-BA</t>
  </si>
  <si>
    <t>Exploratory (Undecided)</t>
  </si>
  <si>
    <t>EXPLOR-UND</t>
  </si>
  <si>
    <t>Film and Media Arts</t>
  </si>
  <si>
    <t>FILM-MD-BA</t>
  </si>
  <si>
    <t>Geography BA</t>
  </si>
  <si>
    <t>GEOG-BA</t>
  </si>
  <si>
    <t>Geography BS</t>
  </si>
  <si>
    <t>GEOG-BS</t>
  </si>
  <si>
    <t>Geology BA</t>
  </si>
  <si>
    <t>GEOL-BA</t>
  </si>
  <si>
    <t>Geology BS</t>
  </si>
  <si>
    <t>GEOL-BS</t>
  </si>
  <si>
    <t>Health Sciences - BHS</t>
  </si>
  <si>
    <t>HLTSCI-BHS</t>
  </si>
  <si>
    <t>History BA</t>
  </si>
  <si>
    <t>HIST-BA</t>
  </si>
  <si>
    <t>Information Technology BIT</t>
  </si>
  <si>
    <t>INF-TC-BIT</t>
  </si>
  <si>
    <t>Jazz Studies - BM</t>
  </si>
  <si>
    <t>JAZZ-BM</t>
  </si>
  <si>
    <t>Languages and Literatures BA</t>
  </si>
  <si>
    <t>LNG-LIT-BA</t>
  </si>
  <si>
    <t>Liberal Arts BLA</t>
  </si>
  <si>
    <t>LIB-ART-BL</t>
  </si>
  <si>
    <t>Mathematics &amp; Statistics BA</t>
  </si>
  <si>
    <t>MATH-&amp;-BA</t>
  </si>
  <si>
    <t>Mathematics &amp; Statistics BS</t>
  </si>
  <si>
    <t>MATH-&amp;-BS</t>
  </si>
  <si>
    <t>Mechanical Engineering BSME</t>
  </si>
  <si>
    <t>MC-ENG-BSM</t>
  </si>
  <si>
    <t>Medicine MD-Six Year Program</t>
  </si>
  <si>
    <t>MED-UNDEC</t>
  </si>
  <si>
    <t>Middle School Education BA</t>
  </si>
  <si>
    <t>MID-ED-BA</t>
  </si>
  <si>
    <t>Music BA</t>
  </si>
  <si>
    <t>MUS-TH-BA</t>
  </si>
  <si>
    <t>MUSIC-BA-I</t>
  </si>
  <si>
    <t>MUSIC-BA-K</t>
  </si>
  <si>
    <t>MUSIC-BA-V</t>
  </si>
  <si>
    <t>Music Composition BM</t>
  </si>
  <si>
    <t>M-COMP-BM</t>
  </si>
  <si>
    <t>Music Education BME</t>
  </si>
  <si>
    <t>M-EDUC-BME</t>
  </si>
  <si>
    <t>Nursing BSN</t>
  </si>
  <si>
    <t>NURSE-BSN</t>
  </si>
  <si>
    <t>Performance - BM</t>
  </si>
  <si>
    <t>PERF-BM-IN</t>
  </si>
  <si>
    <t>PERF-BM-K</t>
  </si>
  <si>
    <t>PERF-BM-V</t>
  </si>
  <si>
    <t>Pharm-D Undergraduate</t>
  </si>
  <si>
    <t>PHARMD-UG</t>
  </si>
  <si>
    <t>Philosophy BA</t>
  </si>
  <si>
    <t>PHIL-BA</t>
  </si>
  <si>
    <t>Physics BA</t>
  </si>
  <si>
    <t>PHYSCS-BA</t>
  </si>
  <si>
    <t>Physics BS</t>
  </si>
  <si>
    <t>PHYSCS-BS</t>
  </si>
  <si>
    <t>Political Science BA</t>
  </si>
  <si>
    <t>POL-SC-BA</t>
  </si>
  <si>
    <t>Psychology BA</t>
  </si>
  <si>
    <t>PSYCH-BA</t>
  </si>
  <si>
    <t>Public Health - BS</t>
  </si>
  <si>
    <t>PB-HLTH-BS</t>
  </si>
  <si>
    <t>Secondary Education BA</t>
  </si>
  <si>
    <t>SEC-ED-BA</t>
  </si>
  <si>
    <t>Six Year Law Scholars</t>
  </si>
  <si>
    <t>SIX-LW-SCH</t>
  </si>
  <si>
    <t>Sociology BA</t>
  </si>
  <si>
    <t>SOCIOL-BA</t>
  </si>
  <si>
    <t>Studio Art BA</t>
  </si>
  <si>
    <t>STUDIO-BA</t>
  </si>
  <si>
    <t>Theatre BA</t>
  </si>
  <si>
    <t>THEAT-BA</t>
  </si>
  <si>
    <t>Urban Planning &amp; Design- BA</t>
  </si>
  <si>
    <t>URB-PLN-BA</t>
  </si>
  <si>
    <t>Urban Studies BA</t>
  </si>
  <si>
    <t>URB-AF-BA</t>
  </si>
  <si>
    <t>AY19-20 Major SCH $</t>
  </si>
  <si>
    <t>Discounts</t>
  </si>
  <si>
    <t>AY19-20 Major SCH $ adjusted for Discounts</t>
  </si>
  <si>
    <t>AY19-20 Course SCH $</t>
  </si>
  <si>
    <t>AY19-20 Course SCH $ adjusted for Discounts</t>
  </si>
  <si>
    <t>AY19-20 Salary and Benefits for Department $</t>
  </si>
  <si>
    <t>ACAD CAREER</t>
  </si>
  <si>
    <t>ACAD PLAN</t>
  </si>
  <si>
    <t>ACAD PLAN DESCR</t>
  </si>
  <si>
    <t>ACAD ORG</t>
  </si>
  <si>
    <t>ACAD GROUP</t>
  </si>
  <si>
    <t xml:space="preserve"> LEVEL</t>
  </si>
  <si>
    <t>MAJOR  15-16 HEAD COUNT</t>
  </si>
  <si>
    <t>MAJOR  16-17 HEAD COUNT</t>
  </si>
  <si>
    <t>MAJOR  17-18 HEAD COUNT</t>
  </si>
  <si>
    <t>MAJOR  18-19 HEAD COUNT</t>
  </si>
  <si>
    <t>MAJOR  19-20 HEAD COUNT</t>
  </si>
  <si>
    <t>Conservatory - General</t>
  </si>
  <si>
    <t>Net Revenue - Major</t>
  </si>
  <si>
    <t>Net Revenue - Courses</t>
  </si>
  <si>
    <t>% Change Major Head Count</t>
  </si>
  <si>
    <t>Tripled or Doubled</t>
  </si>
  <si>
    <t>MUSIC-BA-I,K,V</t>
  </si>
  <si>
    <t>PERF-BM-I,K,V</t>
  </si>
  <si>
    <t>PERF-MM-I,K,V</t>
  </si>
  <si>
    <t>PERF-DMA-I,K,V</t>
  </si>
  <si>
    <t>PERF-CT-I,K,V</t>
  </si>
  <si>
    <t>MUSIC-MA-I,K,V</t>
  </si>
  <si>
    <t>COND-MM-I,K,V</t>
  </si>
  <si>
    <t>CND-DMA-I,K,V</t>
  </si>
  <si>
    <t>ARTST-CT-I,K,V</t>
  </si>
  <si>
    <t>Music Theory BM</t>
  </si>
  <si>
    <t>M-THRY-BM</t>
  </si>
  <si>
    <t>UG-CT</t>
  </si>
  <si>
    <t>Geographic Info Systems CT</t>
  </si>
  <si>
    <t>GIS-UG-CT</t>
  </si>
  <si>
    <t>Black Studies - CT</t>
  </si>
  <si>
    <t>BLKSTD-CT</t>
  </si>
  <si>
    <t>Dental - Clinical Sciences</t>
  </si>
  <si>
    <t>% of Total Majors in Dept</t>
  </si>
  <si>
    <t>Summary Score</t>
  </si>
  <si>
    <t>Employment Opportunities/ Demand for Degree: Growing/Strong Moderate/Plateaued, or Shrinking/Weak</t>
  </si>
  <si>
    <t xml:space="preserve">Relevance to Mission/Impact of not Offering Degree at UMKC: Core to Mission/No other Programs in Region/State, Moderately Linked to Mission/Some other Programs in Region/State, or Losely Linked to Mission/Other Strong Programs in Region/State </t>
  </si>
  <si>
    <t>Description</t>
  </si>
  <si>
    <t>1/Excellent</t>
  </si>
  <si>
    <t>2/Moderate</t>
  </si>
  <si>
    <t>Net revenue significantly exceeds salary costs, covering the estimated annual costs of supplies and department/unit/university overhead; Major Head Count has been large and sustained or experienced significant growth; Strong evidence of current/future job demand; mission relevance is objective and linked to mission statement and/or strategic plan/; Impact of closing the program would leave a critical educational, social, or economic gap in our region/state; no other state/regional programs can delivery the program with the quality of our program.</t>
  </si>
  <si>
    <t>Net revenue exceeds salary costs, covering the estimated annual costs of supplies but with limited support for department/unit/university overhead; Major Head Count has been large, but with signifcant variability or a decline,  or it has been  moderate, but stable; limited evidence of current/future job demand based on market analysis; relevant to mission/strategic plan, but not critical.  Other regional programs could offer the degree with minimal impact on our region/state.</t>
  </si>
  <si>
    <t>3/Poor</t>
  </si>
  <si>
    <t>Net revenue is equal to or does not cover salary costs; estimated cost of supplies and department/unit/university overhead are not covered with revenue; Major Head Count has experienced significant loss or is small; Limited/no evidence of current/future job demand based on market analysis; mission relevance is unclear or lacking; other programs in region/state can deliver the program at a higher quality than we can.</t>
  </si>
  <si>
    <t>Pre-Elementary Educ</t>
  </si>
  <si>
    <t>PRE-EDEL</t>
  </si>
  <si>
    <t>Pre Education Middle School</t>
  </si>
  <si>
    <t>PRE-ED-MID</t>
  </si>
  <si>
    <t>Pre-Secondary Educ</t>
  </si>
  <si>
    <t>PRE-EDSEC</t>
  </si>
  <si>
    <t>Pre Early Childhood</t>
  </si>
  <si>
    <t>PRE-ERLY-C</t>
  </si>
  <si>
    <t>Grant Funds</t>
  </si>
  <si>
    <t>Other Funds</t>
  </si>
  <si>
    <t>Global Entrepreneurship &amp; Real Estate &amp; Management Combined</t>
  </si>
  <si>
    <t>Instruction Plus Other Funds</t>
  </si>
  <si>
    <t>Medicine - General &amp; Biomedical Sciences</t>
  </si>
  <si>
    <t>Based on Instructional Compensation</t>
  </si>
  <si>
    <t>Based on Instructional + Other Funds Compensation</t>
  </si>
  <si>
    <t>Research (0000,0445)</t>
  </si>
  <si>
    <t>Academic Support &amp; Institutional Support (0000,0445)</t>
  </si>
  <si>
    <t>University College &amp; Gen Ed</t>
  </si>
  <si>
    <t>Instruction (0000,0445)</t>
  </si>
  <si>
    <t>Summary Score: 1,2, or 3</t>
  </si>
  <si>
    <t xml:space="preserve">N/A </t>
  </si>
  <si>
    <t>`</t>
  </si>
  <si>
    <t>N/A</t>
  </si>
  <si>
    <t>Not reveiwed</t>
  </si>
  <si>
    <t>Not reviewed</t>
  </si>
  <si>
    <t>See Faculty Senate Program Review Report for critical contexts</t>
  </si>
  <si>
    <t>A non-degree program before students select degree POS</t>
  </si>
  <si>
    <t>Renamed MSERE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</si>
</sst>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38" fontId="2" fillId="3" borderId="1" xfId="0" applyNumberFormat="1" applyFont="1" applyFill="1" applyBorder="1" applyAlignment="1">
      <alignment horizontal="center" wrapText="1"/>
    </xf>
    <xf numFmtId="0" fontId="5" fillId="8" borderId="1" xfId="0" applyNumberFormat="1" applyFont="1" applyFill="1" applyBorder="1"/>
    <xf numFmtId="38" fontId="5" fillId="8" borderId="1" xfId="0" applyNumberFormat="1" applyFont="1" applyFill="1" applyBorder="1"/>
    <xf numFmtId="0" fontId="6" fillId="0" borderId="0" xfId="0" applyFont="1"/>
    <xf numFmtId="0" fontId="5" fillId="2" borderId="1" xfId="0" applyNumberFormat="1" applyFont="1" applyFill="1" applyBorder="1"/>
    <xf numFmtId="38" fontId="5" fillId="7" borderId="1" xfId="0" applyNumberFormat="1" applyFont="1" applyFill="1" applyBorder="1"/>
    <xf numFmtId="0" fontId="6" fillId="0" borderId="1" xfId="0" applyFont="1" applyBorder="1"/>
    <xf numFmtId="0" fontId="6" fillId="8" borderId="0" xfId="0" applyFont="1" applyFill="1"/>
    <xf numFmtId="38" fontId="6" fillId="0" borderId="0" xfId="0" applyNumberFormat="1" applyFont="1"/>
    <xf numFmtId="0" fontId="5" fillId="9" borderId="1" xfId="0" applyNumberFormat="1" applyFont="1" applyFill="1" applyBorder="1"/>
    <xf numFmtId="38" fontId="5" fillId="9" borderId="1" xfId="0" applyNumberFormat="1" applyFont="1" applyFill="1" applyBorder="1"/>
    <xf numFmtId="3" fontId="5" fillId="8" borderId="1" xfId="0" applyNumberFormat="1" applyFont="1" applyFill="1" applyBorder="1"/>
    <xf numFmtId="3" fontId="5" fillId="2" borderId="1" xfId="0" applyNumberFormat="1" applyFont="1" applyFill="1" applyBorder="1"/>
    <xf numFmtId="3" fontId="5" fillId="9" borderId="1" xfId="0" applyNumberFormat="1" applyFont="1" applyFill="1" applyBorder="1"/>
    <xf numFmtId="0" fontId="2" fillId="6" borderId="0" xfId="0" applyFont="1" applyFill="1" applyAlignment="1">
      <alignment horizontal="center" wrapText="1"/>
    </xf>
    <xf numFmtId="164" fontId="5" fillId="8" borderId="1" xfId="0" applyNumberFormat="1" applyFont="1" applyFill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0" fontId="6" fillId="11" borderId="1" xfId="0" applyFont="1" applyFill="1" applyBorder="1"/>
    <xf numFmtId="0" fontId="6" fillId="6" borderId="0" xfId="0" applyFont="1" applyFill="1"/>
    <xf numFmtId="0" fontId="6" fillId="12" borderId="0" xfId="0" applyFont="1" applyFill="1"/>
    <xf numFmtId="3" fontId="6" fillId="2" borderId="1" xfId="6" applyNumberFormat="1" applyFont="1" applyFill="1" applyBorder="1"/>
    <xf numFmtId="3" fontId="6" fillId="2" borderId="0" xfId="6" applyNumberFormat="1" applyFont="1" applyFill="1"/>
    <xf numFmtId="3" fontId="5" fillId="2" borderId="0" xfId="0" applyNumberFormat="1" applyFont="1" applyFill="1"/>
    <xf numFmtId="3" fontId="5" fillId="11" borderId="1" xfId="0" applyNumberFormat="1" applyFont="1" applyFill="1" applyBorder="1"/>
    <xf numFmtId="3" fontId="6" fillId="11" borderId="1" xfId="6" applyNumberFormat="1" applyFont="1" applyFill="1" applyBorder="1"/>
    <xf numFmtId="164" fontId="7" fillId="0" borderId="1" xfId="0" applyNumberFormat="1" applyFont="1" applyBorder="1"/>
    <xf numFmtId="164" fontId="7" fillId="8" borderId="1" xfId="0" applyNumberFormat="1" applyFont="1" applyFill="1" applyBorder="1"/>
    <xf numFmtId="3" fontId="6" fillId="2" borderId="1" xfId="0" applyNumberFormat="1" applyFont="1" applyFill="1" applyBorder="1"/>
    <xf numFmtId="0" fontId="6" fillId="0" borderId="0" xfId="0" applyFont="1" applyFill="1"/>
    <xf numFmtId="0" fontId="4" fillId="0" borderId="0" xfId="0" applyFont="1" applyFill="1" applyAlignment="1">
      <alignment wrapText="1"/>
    </xf>
    <xf numFmtId="38" fontId="5" fillId="2" borderId="1" xfId="0" applyNumberFormat="1" applyFont="1" applyFill="1" applyBorder="1"/>
    <xf numFmtId="0" fontId="5" fillId="2" borderId="1" xfId="0" applyFont="1" applyFill="1" applyBorder="1"/>
    <xf numFmtId="38" fontId="5" fillId="3" borderId="1" xfId="0" applyNumberFormat="1" applyFont="1" applyFill="1" applyBorder="1"/>
    <xf numFmtId="38" fontId="2" fillId="10" borderId="2" xfId="0" applyNumberFormat="1" applyFont="1" applyFill="1" applyBorder="1" applyAlignment="1">
      <alignment horizontal="center" wrapText="1"/>
    </xf>
    <xf numFmtId="38" fontId="5" fillId="9" borderId="3" xfId="0" applyNumberFormat="1" applyFont="1" applyFill="1" applyBorder="1"/>
    <xf numFmtId="38" fontId="5" fillId="10" borderId="3" xfId="0" applyNumberFormat="1" applyFont="1" applyFill="1" applyBorder="1"/>
    <xf numFmtId="38" fontId="5" fillId="10" borderId="4" xfId="0" applyNumberFormat="1" applyFont="1" applyFill="1" applyBorder="1"/>
    <xf numFmtId="37" fontId="5" fillId="8" borderId="1" xfId="0" applyNumberFormat="1" applyFont="1" applyFill="1" applyBorder="1"/>
    <xf numFmtId="37" fontId="5" fillId="7" borderId="1" xfId="0" applyNumberFormat="1" applyFont="1" applyFill="1" applyBorder="1"/>
    <xf numFmtId="37" fontId="5" fillId="9" borderId="1" xfId="0" applyNumberFormat="1" applyFont="1" applyFill="1" applyBorder="1"/>
    <xf numFmtId="37" fontId="6" fillId="0" borderId="0" xfId="0" applyNumberFormat="1" applyFont="1"/>
    <xf numFmtId="37" fontId="2" fillId="4" borderId="1" xfId="0" applyNumberFormat="1" applyFont="1" applyFill="1" applyBorder="1" applyAlignment="1">
      <alignment horizontal="center" wrapText="1"/>
    </xf>
    <xf numFmtId="37" fontId="5" fillId="4" borderId="1" xfId="0" applyNumberFormat="1" applyFont="1" applyFill="1" applyBorder="1"/>
    <xf numFmtId="37" fontId="2" fillId="3" borderId="1" xfId="0" applyNumberFormat="1" applyFont="1" applyFill="1" applyBorder="1" applyAlignment="1">
      <alignment horizontal="center" wrapText="1"/>
    </xf>
    <xf numFmtId="37" fontId="5" fillId="3" borderId="1" xfId="0" applyNumberFormat="1" applyFont="1" applyFill="1" applyBorder="1"/>
    <xf numFmtId="0" fontId="5" fillId="8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37" fontId="2" fillId="5" borderId="2" xfId="0" applyNumberFormat="1" applyFont="1" applyFill="1" applyBorder="1" applyAlignment="1">
      <alignment horizontal="center" wrapText="1"/>
    </xf>
    <xf numFmtId="37" fontId="5" fillId="8" borderId="3" xfId="0" applyNumberFormat="1" applyFont="1" applyFill="1" applyBorder="1"/>
    <xf numFmtId="37" fontId="5" fillId="5" borderId="3" xfId="0" applyNumberFormat="1" applyFont="1" applyFill="1" applyBorder="1"/>
    <xf numFmtId="37" fontId="5" fillId="9" borderId="3" xfId="0" applyNumberFormat="1" applyFont="1" applyFill="1" applyBorder="1"/>
    <xf numFmtId="37" fontId="5" fillId="5" borderId="4" xfId="0" applyNumberFormat="1" applyFont="1" applyFill="1" applyBorder="1"/>
    <xf numFmtId="38" fontId="5" fillId="10" borderId="0" xfId="0" applyNumberFormat="1" applyFont="1" applyFill="1" applyBorder="1"/>
    <xf numFmtId="37" fontId="2" fillId="5" borderId="1" xfId="0" applyNumberFormat="1" applyFont="1" applyFill="1" applyBorder="1" applyAlignment="1">
      <alignment horizontal="centerContinuous" wrapText="1"/>
    </xf>
    <xf numFmtId="37" fontId="2" fillId="5" borderId="2" xfId="0" applyNumberFormat="1" applyFont="1" applyFill="1" applyBorder="1" applyAlignment="1">
      <alignment horizontal="centerContinuous" wrapText="1"/>
    </xf>
    <xf numFmtId="38" fontId="2" fillId="10" borderId="2" xfId="0" applyNumberFormat="1" applyFont="1" applyFill="1" applyBorder="1" applyAlignment="1">
      <alignment horizontal="centerContinuous" wrapText="1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8" borderId="1" xfId="0" applyNumberFormat="1" applyFont="1" applyFill="1" applyBorder="1"/>
    <xf numFmtId="38" fontId="6" fillId="8" borderId="1" xfId="0" applyNumberFormat="1" applyFont="1" applyFill="1" applyBorder="1"/>
    <xf numFmtId="37" fontId="6" fillId="8" borderId="1" xfId="0" applyNumberFormat="1" applyFont="1" applyFill="1" applyBorder="1"/>
    <xf numFmtId="37" fontId="6" fillId="8" borderId="3" xfId="0" applyNumberFormat="1" applyFont="1" applyFill="1" applyBorder="1"/>
    <xf numFmtId="3" fontId="6" fillId="8" borderId="1" xfId="0" applyNumberFormat="1" applyFont="1" applyFill="1" applyBorder="1"/>
    <xf numFmtId="164" fontId="6" fillId="8" borderId="1" xfId="0" applyNumberFormat="1" applyFont="1" applyFill="1" applyBorder="1"/>
    <xf numFmtId="0" fontId="6" fillId="2" borderId="1" xfId="0" applyNumberFormat="1" applyFont="1" applyFill="1" applyBorder="1"/>
    <xf numFmtId="38" fontId="6" fillId="7" borderId="1" xfId="0" applyNumberFormat="1" applyFont="1" applyFill="1" applyBorder="1"/>
    <xf numFmtId="37" fontId="6" fillId="7" borderId="1" xfId="0" applyNumberFormat="1" applyFont="1" applyFill="1" applyBorder="1"/>
    <xf numFmtId="37" fontId="6" fillId="4" borderId="1" xfId="0" applyNumberFormat="1" applyFont="1" applyFill="1" applyBorder="1"/>
    <xf numFmtId="37" fontId="6" fillId="5" borderId="3" xfId="0" applyNumberFormat="1" applyFont="1" applyFill="1" applyBorder="1"/>
    <xf numFmtId="38" fontId="6" fillId="10" borderId="3" xfId="0" applyNumberFormat="1" applyFont="1" applyFill="1" applyBorder="1"/>
    <xf numFmtId="0" fontId="6" fillId="8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wrapText="1"/>
    </xf>
    <xf numFmtId="38" fontId="8" fillId="3" borderId="1" xfId="0" applyNumberFormat="1" applyFont="1" applyFill="1" applyBorder="1" applyAlignment="1">
      <alignment horizontal="center" wrapText="1"/>
    </xf>
    <xf numFmtId="37" fontId="8" fillId="3" borderId="1" xfId="0" applyNumberFormat="1" applyFont="1" applyFill="1" applyBorder="1" applyAlignment="1">
      <alignment horizontal="center" wrapText="1"/>
    </xf>
    <xf numFmtId="37" fontId="8" fillId="4" borderId="1" xfId="0" applyNumberFormat="1" applyFont="1" applyFill="1" applyBorder="1" applyAlignment="1">
      <alignment horizontal="center" wrapText="1"/>
    </xf>
    <xf numFmtId="37" fontId="8" fillId="5" borderId="2" xfId="0" applyNumberFormat="1" applyFont="1" applyFill="1" applyBorder="1" applyAlignment="1">
      <alignment horizontal="center" wrapText="1"/>
    </xf>
    <xf numFmtId="38" fontId="8" fillId="10" borderId="2" xfId="0" applyNumberFormat="1" applyFont="1" applyFill="1" applyBorder="1" applyAlignment="1">
      <alignment horizontal="center" wrapText="1"/>
    </xf>
    <xf numFmtId="0" fontId="8" fillId="6" borderId="0" xfId="0" applyFont="1" applyFill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6" fillId="2" borderId="1" xfId="0" applyFont="1" applyFill="1" applyBorder="1"/>
    <xf numFmtId="38" fontId="6" fillId="3" borderId="1" xfId="0" applyNumberFormat="1" applyFont="1" applyFill="1" applyBorder="1"/>
    <xf numFmtId="37" fontId="6" fillId="3" borderId="1" xfId="0" applyNumberFormat="1" applyFont="1" applyFill="1" applyBorder="1"/>
    <xf numFmtId="38" fontId="6" fillId="2" borderId="1" xfId="0" applyNumberFormat="1" applyFont="1" applyFill="1" applyBorder="1"/>
    <xf numFmtId="38" fontId="6" fillId="10" borderId="0" xfId="0" applyNumberFormat="1" applyFont="1" applyFill="1" applyBorder="1"/>
    <xf numFmtId="3" fontId="6" fillId="2" borderId="0" xfId="0" applyNumberFormat="1" applyFont="1" applyFill="1"/>
    <xf numFmtId="3" fontId="6" fillId="11" borderId="1" xfId="0" applyNumberFormat="1" applyFont="1" applyFill="1" applyBorder="1"/>
    <xf numFmtId="164" fontId="6" fillId="0" borderId="1" xfId="0" applyNumberFormat="1" applyFont="1" applyFill="1" applyBorder="1"/>
    <xf numFmtId="37" fontId="6" fillId="5" borderId="4" xfId="0" applyNumberFormat="1" applyFont="1" applyFill="1" applyBorder="1"/>
    <xf numFmtId="38" fontId="6" fillId="10" borderId="4" xfId="0" applyNumberFormat="1" applyFont="1" applyFill="1" applyBorder="1"/>
    <xf numFmtId="0" fontId="6" fillId="13" borderId="4" xfId="0" applyFont="1" applyFill="1" applyBorder="1" applyAlignment="1">
      <alignment horizontal="center"/>
    </xf>
    <xf numFmtId="38" fontId="6" fillId="8" borderId="3" xfId="0" applyNumberFormat="1" applyFont="1" applyFill="1" applyBorder="1"/>
    <xf numFmtId="0" fontId="8" fillId="6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6" fillId="8" borderId="1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8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37" fontId="6" fillId="2" borderId="1" xfId="0" applyNumberFormat="1" applyFont="1" applyFill="1" applyBorder="1"/>
    <xf numFmtId="37" fontId="6" fillId="2" borderId="3" xfId="0" applyNumberFormat="1" applyFont="1" applyFill="1" applyBorder="1"/>
    <xf numFmtId="38" fontId="6" fillId="2" borderId="3" xfId="0" applyNumberFormat="1" applyFont="1" applyFill="1" applyBorder="1"/>
    <xf numFmtId="164" fontId="6" fillId="2" borderId="1" xfId="0" applyNumberFormat="1" applyFont="1" applyFill="1" applyBorder="1"/>
    <xf numFmtId="0" fontId="6" fillId="2" borderId="0" xfId="0" applyFont="1" applyFill="1"/>
    <xf numFmtId="0" fontId="6" fillId="8" borderId="1" xfId="0" applyFont="1" applyFill="1" applyBorder="1"/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5000000}"/>
    <cellStyle name="Percent" xfId="1" xr:uid="{00000000-0005-0000-0000-000006000000}"/>
  </cellStyles>
  <dxfs count="1">
    <dxf>
      <fill>
        <patternFill patternType="solid">
          <fgColor rgb="FFC5D9F1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1"/>
  <sheetViews>
    <sheetView workbookViewId="0">
      <pane xSplit="6" ySplit="2" topLeftCell="V58" activePane="bottomRight" state="frozen"/>
      <selection pane="topRight" activeCell="G1" sqref="G1"/>
      <selection pane="bottomLeft" activeCell="A2" sqref="A2"/>
      <selection pane="bottomRight" activeCell="V64" sqref="V64"/>
    </sheetView>
  </sheetViews>
  <sheetFormatPr baseColWidth="10" defaultColWidth="9.1640625" defaultRowHeight="14" x14ac:dyDescent="0.15"/>
  <cols>
    <col min="1" max="1" width="12.6640625" style="7" customWidth="1"/>
    <col min="2" max="2" width="18.6640625" style="7" customWidth="1"/>
    <col min="3" max="3" width="33.1640625" style="7" customWidth="1"/>
    <col min="4" max="4" width="20.6640625" style="7" hidden="1" customWidth="1"/>
    <col min="5" max="5" width="37.33203125" style="7" customWidth="1"/>
    <col min="6" max="6" width="34.1640625" style="7" customWidth="1"/>
    <col min="7" max="7" width="24.83203125" style="12" customWidth="1"/>
    <col min="8" max="8" width="13.6640625" style="45" customWidth="1"/>
    <col min="9" max="10" width="16.6640625" style="45" customWidth="1"/>
    <col min="11" max="11" width="19.6640625" style="45" customWidth="1"/>
    <col min="12" max="12" width="21.6640625" style="45" customWidth="1"/>
    <col min="13" max="18" width="15.6640625" style="45" customWidth="1"/>
    <col min="19" max="22" width="16.6640625" style="12" customWidth="1"/>
    <col min="23" max="27" width="10.6640625" style="7" customWidth="1"/>
    <col min="28" max="28" width="9.1640625" style="7"/>
    <col min="29" max="29" width="0" style="33" hidden="1" customWidth="1"/>
    <col min="30" max="16384" width="9.1640625" style="7"/>
  </cols>
  <sheetData>
    <row r="1" spans="1:29" ht="32" x14ac:dyDescent="0.2">
      <c r="M1" s="62" t="s">
        <v>451</v>
      </c>
      <c r="N1" s="63"/>
      <c r="O1" s="63"/>
      <c r="P1" s="63"/>
      <c r="Q1" s="63"/>
      <c r="R1" s="63"/>
      <c r="S1" s="64" t="s">
        <v>510</v>
      </c>
      <c r="T1" s="64"/>
      <c r="U1" s="64" t="s">
        <v>509</v>
      </c>
      <c r="V1" s="64"/>
    </row>
    <row r="2" spans="1:29" s="3" customFormat="1" ht="64" x14ac:dyDescent="0.2">
      <c r="A2" s="1" t="s">
        <v>452</v>
      </c>
      <c r="B2" s="1" t="s">
        <v>457</v>
      </c>
      <c r="C2" s="2" t="s">
        <v>454</v>
      </c>
      <c r="D2" s="2" t="s">
        <v>453</v>
      </c>
      <c r="E2" s="2" t="s">
        <v>455</v>
      </c>
      <c r="F2" s="2" t="s">
        <v>456</v>
      </c>
      <c r="G2" s="4" t="s">
        <v>446</v>
      </c>
      <c r="H2" s="48" t="s">
        <v>447</v>
      </c>
      <c r="I2" s="48" t="s">
        <v>448</v>
      </c>
      <c r="J2" s="46" t="s">
        <v>449</v>
      </c>
      <c r="K2" s="46" t="s">
        <v>447</v>
      </c>
      <c r="L2" s="46" t="s">
        <v>450</v>
      </c>
      <c r="M2" s="56" t="s">
        <v>514</v>
      </c>
      <c r="N2" s="56" t="s">
        <v>511</v>
      </c>
      <c r="O2" s="56" t="s">
        <v>512</v>
      </c>
      <c r="P2" s="56" t="s">
        <v>504</v>
      </c>
      <c r="Q2" s="56" t="s">
        <v>505</v>
      </c>
      <c r="R2" s="56" t="s">
        <v>507</v>
      </c>
      <c r="S2" s="38" t="s">
        <v>464</v>
      </c>
      <c r="T2" s="38" t="s">
        <v>465</v>
      </c>
      <c r="U2" s="38" t="s">
        <v>464</v>
      </c>
      <c r="V2" s="38" t="s">
        <v>465</v>
      </c>
      <c r="W2" s="2" t="s">
        <v>458</v>
      </c>
      <c r="X2" s="2" t="s">
        <v>459</v>
      </c>
      <c r="Y2" s="2" t="s">
        <v>460</v>
      </c>
      <c r="Z2" s="2" t="s">
        <v>461</v>
      </c>
      <c r="AA2" s="2" t="s">
        <v>462</v>
      </c>
      <c r="AB2" s="18" t="s">
        <v>466</v>
      </c>
      <c r="AC2" s="34" t="s">
        <v>485</v>
      </c>
    </row>
    <row r="3" spans="1:29" x14ac:dyDescent="0.15">
      <c r="A3" s="5"/>
      <c r="B3" s="5" t="s">
        <v>0</v>
      </c>
      <c r="C3" s="5" t="s">
        <v>0</v>
      </c>
      <c r="D3" s="5" t="s">
        <v>0</v>
      </c>
      <c r="E3" s="5" t="s">
        <v>1</v>
      </c>
      <c r="F3" s="5" t="s">
        <v>2</v>
      </c>
      <c r="G3" s="6">
        <v>3772072.69</v>
      </c>
      <c r="H3" s="42">
        <v>-671551.97499999998</v>
      </c>
      <c r="I3" s="42">
        <v>3100520.7149999999</v>
      </c>
      <c r="J3" s="42">
        <v>3063251.32</v>
      </c>
      <c r="K3" s="42">
        <v>-519650.48452856002</v>
      </c>
      <c r="L3" s="42">
        <f>+J3+K3</f>
        <v>2543600.8354714396</v>
      </c>
      <c r="M3" s="57">
        <f>-1345.62-1571549.42</f>
        <v>-1572895.04</v>
      </c>
      <c r="N3" s="57"/>
      <c r="O3" s="57"/>
      <c r="P3" s="57"/>
      <c r="Q3" s="57">
        <v>-115.99</v>
      </c>
      <c r="R3" s="57">
        <f>+Q3+M3</f>
        <v>-1573011.03</v>
      </c>
      <c r="S3" s="39">
        <f>+I3+R3</f>
        <v>1527509.6849999998</v>
      </c>
      <c r="T3" s="39">
        <f>+L3+R3</f>
        <v>970589.80547143961</v>
      </c>
      <c r="U3" s="39">
        <f>+I3+M3</f>
        <v>1527625.6749999998</v>
      </c>
      <c r="V3" s="39">
        <f>+L3+M3</f>
        <v>970705.7954714396</v>
      </c>
      <c r="W3" s="15">
        <f>SUM(W4:W5)</f>
        <v>443</v>
      </c>
      <c r="X3" s="15">
        <f t="shared" ref="X3" si="0">SUM(X4:X5)</f>
        <v>418</v>
      </c>
      <c r="Y3" s="15">
        <f t="shared" ref="Y3" si="1">SUM(Y4:Y5)</f>
        <v>426</v>
      </c>
      <c r="Z3" s="15">
        <f t="shared" ref="Z3" si="2">SUM(Z4:Z5)</f>
        <v>414</v>
      </c>
      <c r="AA3" s="15">
        <f t="shared" ref="AA3" si="3">SUM(AA4:AA5)</f>
        <v>451</v>
      </c>
      <c r="AB3" s="19">
        <f t="shared" ref="AB3:AB13" si="4">+(AA3-W3)/W3</f>
        <v>1.8058690744920992E-2</v>
      </c>
    </row>
    <row r="4" spans="1:29" x14ac:dyDescent="0.15">
      <c r="A4" s="8" t="s">
        <v>62</v>
      </c>
      <c r="B4" s="8" t="s">
        <v>195</v>
      </c>
      <c r="C4" s="8" t="s">
        <v>196</v>
      </c>
      <c r="D4" s="8" t="s">
        <v>197</v>
      </c>
      <c r="E4" s="8" t="s">
        <v>1</v>
      </c>
      <c r="F4" s="8" t="s">
        <v>2</v>
      </c>
      <c r="G4" s="9">
        <v>629616.9</v>
      </c>
      <c r="H4" s="43">
        <v>-85045.14</v>
      </c>
      <c r="I4" s="43">
        <v>544571.76</v>
      </c>
      <c r="J4" s="47"/>
      <c r="K4" s="47"/>
      <c r="L4" s="47"/>
      <c r="M4" s="58"/>
      <c r="N4" s="58"/>
      <c r="O4" s="58"/>
      <c r="P4" s="58"/>
      <c r="Q4" s="58"/>
      <c r="R4" s="58"/>
      <c r="S4" s="40"/>
      <c r="T4" s="40"/>
      <c r="U4" s="40"/>
      <c r="V4" s="40"/>
      <c r="W4" s="25">
        <v>139</v>
      </c>
      <c r="X4" s="25">
        <v>122</v>
      </c>
      <c r="Y4" s="25">
        <v>83</v>
      </c>
      <c r="Z4" s="16">
        <v>61</v>
      </c>
      <c r="AA4" s="16">
        <v>85</v>
      </c>
      <c r="AB4" s="30">
        <f t="shared" si="4"/>
        <v>-0.38848920863309355</v>
      </c>
      <c r="AC4" s="33">
        <f>+AA4/AA3</f>
        <v>0.18847006651884701</v>
      </c>
    </row>
    <row r="5" spans="1:29" x14ac:dyDescent="0.15">
      <c r="A5" s="8" t="s">
        <v>321</v>
      </c>
      <c r="B5" s="8" t="s">
        <v>322</v>
      </c>
      <c r="C5" s="8" t="s">
        <v>323</v>
      </c>
      <c r="D5" s="8" t="s">
        <v>324</v>
      </c>
      <c r="E5" s="8" t="s">
        <v>1</v>
      </c>
      <c r="F5" s="8" t="s">
        <v>2</v>
      </c>
      <c r="G5" s="9">
        <v>3142455.79</v>
      </c>
      <c r="H5" s="43">
        <v>-586506.83499999996</v>
      </c>
      <c r="I5" s="43">
        <v>2555948.9550000001</v>
      </c>
      <c r="J5" s="47"/>
      <c r="K5" s="47"/>
      <c r="L5" s="47"/>
      <c r="M5" s="58"/>
      <c r="N5" s="58"/>
      <c r="O5" s="58"/>
      <c r="P5" s="58"/>
      <c r="Q5" s="58"/>
      <c r="R5" s="58"/>
      <c r="S5" s="40"/>
      <c r="T5" s="40"/>
      <c r="U5" s="40"/>
      <c r="V5" s="40"/>
      <c r="W5" s="25">
        <v>304</v>
      </c>
      <c r="X5" s="25">
        <v>296</v>
      </c>
      <c r="Y5" s="16">
        <v>343</v>
      </c>
      <c r="Z5" s="16">
        <v>353</v>
      </c>
      <c r="AA5" s="16">
        <v>366</v>
      </c>
      <c r="AB5" s="20">
        <f t="shared" si="4"/>
        <v>0.20394736842105263</v>
      </c>
      <c r="AC5" s="33">
        <f>+AA5/AA3</f>
        <v>0.81152993348115299</v>
      </c>
    </row>
    <row r="6" spans="1:29" x14ac:dyDescent="0.15">
      <c r="A6" s="5"/>
      <c r="B6" s="5" t="s">
        <v>0</v>
      </c>
      <c r="C6" s="5" t="s">
        <v>0</v>
      </c>
      <c r="D6" s="5" t="s">
        <v>0</v>
      </c>
      <c r="E6" s="5" t="s">
        <v>12</v>
      </c>
      <c r="F6" s="5" t="s">
        <v>2</v>
      </c>
      <c r="G6" s="6">
        <v>13535934.470000001</v>
      </c>
      <c r="H6" s="42">
        <v>-2368617.5099999998</v>
      </c>
      <c r="I6" s="42">
        <v>11167316.960000001</v>
      </c>
      <c r="J6" s="42">
        <f>8048409.13+110085</f>
        <v>8158494.1299999999</v>
      </c>
      <c r="K6" s="42">
        <v>-1205890.9360309199</v>
      </c>
      <c r="L6" s="42">
        <f>+J6+K6</f>
        <v>6952603.1939690802</v>
      </c>
      <c r="M6" s="57">
        <f>-89043.93-25454.88-1227960.34-10741.31-566868.03-237574.65-2018.43-71957.71-747692.25-20225.24-877238.57-31649.11</f>
        <v>-3908424.45</v>
      </c>
      <c r="N6" s="57"/>
      <c r="O6" s="57"/>
      <c r="P6" s="57"/>
      <c r="Q6" s="57">
        <f>-97.95-147024.61-158383.04-21371.85</f>
        <v>-326877.44999999995</v>
      </c>
      <c r="R6" s="57">
        <f>+Q6+M6</f>
        <v>-4235301.9000000004</v>
      </c>
      <c r="S6" s="39">
        <f>+I6+R6</f>
        <v>6932015.0600000005</v>
      </c>
      <c r="T6" s="39">
        <f>+L6+R6</f>
        <v>2717301.2939690799</v>
      </c>
      <c r="U6" s="39">
        <f>+I6+M6</f>
        <v>7258892.5100000007</v>
      </c>
      <c r="V6" s="39">
        <f>+L6+M6</f>
        <v>3044178.74396908</v>
      </c>
      <c r="W6" s="15">
        <f>SUM(W7:W8)</f>
        <v>1533</v>
      </c>
      <c r="X6" s="15">
        <f t="shared" ref="X6:AA6" si="5">SUM(X7:X8)</f>
        <v>1550</v>
      </c>
      <c r="Y6" s="15">
        <f t="shared" si="5"/>
        <v>1505</v>
      </c>
      <c r="Z6" s="15">
        <f t="shared" si="5"/>
        <v>1542</v>
      </c>
      <c r="AA6" s="15">
        <f t="shared" si="5"/>
        <v>1664</v>
      </c>
      <c r="AB6" s="19">
        <f t="shared" si="4"/>
        <v>8.5453359425962161E-2</v>
      </c>
    </row>
    <row r="7" spans="1:29" x14ac:dyDescent="0.15">
      <c r="A7" s="8" t="s">
        <v>62</v>
      </c>
      <c r="B7" s="8" t="s">
        <v>195</v>
      </c>
      <c r="C7" s="8" t="s">
        <v>206</v>
      </c>
      <c r="D7" s="8" t="s">
        <v>207</v>
      </c>
      <c r="E7" s="8" t="s">
        <v>12</v>
      </c>
      <c r="F7" s="8" t="s">
        <v>2</v>
      </c>
      <c r="G7" s="9">
        <v>4267965.5599999996</v>
      </c>
      <c r="H7" s="43">
        <v>-370280.59</v>
      </c>
      <c r="I7" s="43">
        <v>3897684.97</v>
      </c>
      <c r="J7" s="47"/>
      <c r="K7" s="47"/>
      <c r="L7" s="47"/>
      <c r="M7" s="58"/>
      <c r="N7" s="58"/>
      <c r="O7" s="58"/>
      <c r="P7" s="58"/>
      <c r="Q7" s="58"/>
      <c r="R7" s="58"/>
      <c r="S7" s="40"/>
      <c r="T7" s="40"/>
      <c r="U7" s="40"/>
      <c r="V7" s="40"/>
      <c r="W7" s="25">
        <v>316</v>
      </c>
      <c r="X7" s="25">
        <v>335</v>
      </c>
      <c r="Y7" s="25">
        <v>308</v>
      </c>
      <c r="Z7" s="16">
        <v>458</v>
      </c>
      <c r="AA7" s="16">
        <v>603</v>
      </c>
      <c r="AB7" s="20">
        <f t="shared" si="4"/>
        <v>0.90822784810126578</v>
      </c>
      <c r="AC7" s="33">
        <f>+AA7/AA6</f>
        <v>0.36237980769230771</v>
      </c>
    </row>
    <row r="8" spans="1:29" x14ac:dyDescent="0.15">
      <c r="A8" s="8" t="s">
        <v>321</v>
      </c>
      <c r="B8" s="8" t="s">
        <v>322</v>
      </c>
      <c r="C8" s="8" t="s">
        <v>333</v>
      </c>
      <c r="D8" s="8" t="s">
        <v>334</v>
      </c>
      <c r="E8" s="8" t="s">
        <v>12</v>
      </c>
      <c r="F8" s="8" t="s">
        <v>2</v>
      </c>
      <c r="G8" s="9">
        <v>9267968.9100000001</v>
      </c>
      <c r="H8" s="43">
        <v>-1998336.92</v>
      </c>
      <c r="I8" s="43">
        <v>7269631.9900000002</v>
      </c>
      <c r="J8" s="47"/>
      <c r="K8" s="47"/>
      <c r="L8" s="47"/>
      <c r="M8" s="58"/>
      <c r="N8" s="58"/>
      <c r="O8" s="58"/>
      <c r="P8" s="58"/>
      <c r="Q8" s="58"/>
      <c r="R8" s="58"/>
      <c r="S8" s="40"/>
      <c r="T8" s="40"/>
      <c r="U8" s="40"/>
      <c r="V8" s="40"/>
      <c r="W8" s="25">
        <v>1217</v>
      </c>
      <c r="X8" s="25">
        <v>1215</v>
      </c>
      <c r="Y8" s="16">
        <v>1197</v>
      </c>
      <c r="Z8" s="16">
        <v>1084</v>
      </c>
      <c r="AA8" s="16">
        <v>1061</v>
      </c>
      <c r="AB8" s="30">
        <f t="shared" si="4"/>
        <v>-0.12818405916187345</v>
      </c>
      <c r="AC8" s="33">
        <f>+AA8/AA6</f>
        <v>0.63762019230769229</v>
      </c>
    </row>
    <row r="9" spans="1:29" x14ac:dyDescent="0.15">
      <c r="A9" s="5"/>
      <c r="B9" s="5" t="s">
        <v>0</v>
      </c>
      <c r="C9" s="5" t="s">
        <v>0</v>
      </c>
      <c r="D9" s="5" t="s">
        <v>0</v>
      </c>
      <c r="E9" s="5" t="s">
        <v>18</v>
      </c>
      <c r="F9" s="5" t="s">
        <v>2</v>
      </c>
      <c r="G9" s="6">
        <v>591541.64</v>
      </c>
      <c r="H9" s="42">
        <v>-133922.9</v>
      </c>
      <c r="I9" s="42">
        <v>457618.74</v>
      </c>
      <c r="J9" s="42">
        <v>1071226.46</v>
      </c>
      <c r="K9" s="42">
        <v>-190355.50649008801</v>
      </c>
      <c r="L9" s="42">
        <f>+J9+K9</f>
        <v>880870.95350991189</v>
      </c>
      <c r="M9" s="57">
        <f>-33189.85-14227.64-276008.41-14238.68-15914.17-456827.55-3043.5</f>
        <v>-813449.79999999993</v>
      </c>
      <c r="N9" s="57"/>
      <c r="O9" s="57"/>
      <c r="P9" s="57">
        <v>-27768.7</v>
      </c>
      <c r="Q9" s="57">
        <v>-143812.29</v>
      </c>
      <c r="R9" s="57">
        <f>+Q9+M9</f>
        <v>-957262.09</v>
      </c>
      <c r="S9" s="39">
        <f>+I9+R9</f>
        <v>-499643.35</v>
      </c>
      <c r="T9" s="39">
        <f>+L9+R9</f>
        <v>-76391.136490088073</v>
      </c>
      <c r="U9" s="39">
        <f>+I9+M9</f>
        <v>-355831.05999999994</v>
      </c>
      <c r="V9" s="39">
        <f>+L9+M9</f>
        <v>67421.153509911965</v>
      </c>
      <c r="W9" s="15">
        <f>SUM(W10:W12)</f>
        <v>144</v>
      </c>
      <c r="X9" s="15">
        <f t="shared" ref="X9:AA9" si="6">SUM(X10:X12)</f>
        <v>127</v>
      </c>
      <c r="Y9" s="15">
        <f t="shared" si="6"/>
        <v>113</v>
      </c>
      <c r="Z9" s="15">
        <f t="shared" si="6"/>
        <v>104</v>
      </c>
      <c r="AA9" s="15">
        <f t="shared" si="6"/>
        <v>104</v>
      </c>
      <c r="AB9" s="31">
        <f t="shared" si="4"/>
        <v>-0.27777777777777779</v>
      </c>
    </row>
    <row r="10" spans="1:29" x14ac:dyDescent="0.15">
      <c r="A10" s="8" t="s">
        <v>62</v>
      </c>
      <c r="B10" s="8" t="s">
        <v>63</v>
      </c>
      <c r="C10" s="8" t="s">
        <v>109</v>
      </c>
      <c r="D10" s="8" t="s">
        <v>110</v>
      </c>
      <c r="E10" s="8" t="s">
        <v>18</v>
      </c>
      <c r="F10" s="8" t="s">
        <v>2</v>
      </c>
      <c r="G10" s="9">
        <v>34829.300000000003</v>
      </c>
      <c r="H10" s="43">
        <v>-13206.9</v>
      </c>
      <c r="I10" s="43">
        <v>21622.400000000001</v>
      </c>
      <c r="J10" s="47"/>
      <c r="K10" s="47"/>
      <c r="L10" s="47"/>
      <c r="M10" s="58"/>
      <c r="N10" s="58"/>
      <c r="O10" s="58"/>
      <c r="P10" s="58"/>
      <c r="Q10" s="58"/>
      <c r="R10" s="58"/>
      <c r="S10" s="40"/>
      <c r="T10" s="40"/>
      <c r="U10" s="40"/>
      <c r="V10" s="40"/>
      <c r="W10" s="16">
        <v>2</v>
      </c>
      <c r="X10" s="16">
        <v>2</v>
      </c>
      <c r="Y10" s="16">
        <v>5</v>
      </c>
      <c r="Z10" s="16">
        <v>5</v>
      </c>
      <c r="AA10" s="16">
        <v>4</v>
      </c>
      <c r="AB10" s="20">
        <f t="shared" si="4"/>
        <v>1</v>
      </c>
      <c r="AC10" s="33">
        <f>+AA10/AA9</f>
        <v>3.8461538461538464E-2</v>
      </c>
    </row>
    <row r="11" spans="1:29" x14ac:dyDescent="0.15">
      <c r="A11" s="8" t="s">
        <v>62</v>
      </c>
      <c r="B11" s="8" t="s">
        <v>148</v>
      </c>
      <c r="C11" s="8" t="s">
        <v>180</v>
      </c>
      <c r="D11" s="8" t="s">
        <v>181</v>
      </c>
      <c r="E11" s="8" t="s">
        <v>18</v>
      </c>
      <c r="F11" s="8" t="s">
        <v>2</v>
      </c>
      <c r="G11" s="9">
        <v>10016.299999999999</v>
      </c>
      <c r="H11" s="43"/>
      <c r="I11" s="43">
        <v>10016.299999999999</v>
      </c>
      <c r="J11" s="47"/>
      <c r="K11" s="47"/>
      <c r="L11" s="47"/>
      <c r="M11" s="58"/>
      <c r="N11" s="58"/>
      <c r="O11" s="58"/>
      <c r="P11" s="58"/>
      <c r="Q11" s="58"/>
      <c r="R11" s="58"/>
      <c r="S11" s="40"/>
      <c r="T11" s="40"/>
      <c r="U11" s="40"/>
      <c r="V11" s="40"/>
      <c r="W11" s="16">
        <v>8</v>
      </c>
      <c r="X11" s="16">
        <v>7</v>
      </c>
      <c r="Y11" s="16">
        <v>4</v>
      </c>
      <c r="Z11" s="16">
        <v>2</v>
      </c>
      <c r="AA11" s="16">
        <v>5</v>
      </c>
      <c r="AB11" s="30">
        <f t="shared" si="4"/>
        <v>-0.375</v>
      </c>
      <c r="AC11" s="33">
        <f>+AA11/AA9</f>
        <v>4.807692307692308E-2</v>
      </c>
    </row>
    <row r="12" spans="1:29" x14ac:dyDescent="0.15">
      <c r="A12" s="8" t="s">
        <v>62</v>
      </c>
      <c r="B12" s="8" t="s">
        <v>195</v>
      </c>
      <c r="C12" s="8" t="s">
        <v>289</v>
      </c>
      <c r="D12" s="8" t="s">
        <v>290</v>
      </c>
      <c r="E12" s="8" t="s">
        <v>18</v>
      </c>
      <c r="F12" s="8" t="s">
        <v>2</v>
      </c>
      <c r="G12" s="9">
        <v>546696.04</v>
      </c>
      <c r="H12" s="43">
        <v>-120716</v>
      </c>
      <c r="I12" s="43">
        <v>425980.04</v>
      </c>
      <c r="J12" s="47"/>
      <c r="K12" s="47"/>
      <c r="L12" s="47"/>
      <c r="M12" s="58"/>
      <c r="N12" s="58"/>
      <c r="O12" s="58"/>
      <c r="P12" s="58"/>
      <c r="Q12" s="58"/>
      <c r="R12" s="58"/>
      <c r="S12" s="40"/>
      <c r="T12" s="40"/>
      <c r="U12" s="40"/>
      <c r="V12" s="40"/>
      <c r="W12" s="25">
        <v>134</v>
      </c>
      <c r="X12" s="25">
        <v>118</v>
      </c>
      <c r="Y12" s="25">
        <v>104</v>
      </c>
      <c r="Z12" s="16">
        <v>97</v>
      </c>
      <c r="AA12" s="16">
        <v>95</v>
      </c>
      <c r="AB12" s="30">
        <f t="shared" si="4"/>
        <v>-0.29104477611940299</v>
      </c>
      <c r="AC12" s="33">
        <f>+AA12/AA9</f>
        <v>0.91346153846153844</v>
      </c>
    </row>
    <row r="13" spans="1:29" x14ac:dyDescent="0.15">
      <c r="A13" s="5"/>
      <c r="B13" s="5" t="s">
        <v>0</v>
      </c>
      <c r="C13" s="5" t="s">
        <v>0</v>
      </c>
      <c r="D13" s="5" t="s">
        <v>0</v>
      </c>
      <c r="E13" s="5" t="s">
        <v>30</v>
      </c>
      <c r="F13" s="5" t="s">
        <v>2</v>
      </c>
      <c r="G13" s="6">
        <v>458631.01</v>
      </c>
      <c r="H13" s="42">
        <v>-102556.45</v>
      </c>
      <c r="I13" s="42">
        <v>356074.56</v>
      </c>
      <c r="J13" s="42">
        <v>2160083.0299999998</v>
      </c>
      <c r="K13" s="42">
        <v>-349384.321377824</v>
      </c>
      <c r="L13" s="42">
        <f>+J13+K13</f>
        <v>1810698.7086221757</v>
      </c>
      <c r="M13" s="57">
        <f>-8094.87-480419.38</f>
        <v>-488514.25</v>
      </c>
      <c r="N13" s="57"/>
      <c r="O13" s="57"/>
      <c r="P13" s="57"/>
      <c r="Q13" s="57">
        <v>-173.25</v>
      </c>
      <c r="R13" s="57">
        <f>+Q13+M13</f>
        <v>-488687.5</v>
      </c>
      <c r="S13" s="39">
        <f>+I13+R13</f>
        <v>-132612.94</v>
      </c>
      <c r="T13" s="39">
        <f>+L13+R13</f>
        <v>1322011.2086221757</v>
      </c>
      <c r="U13" s="39">
        <f>+I13+M13</f>
        <v>-132439.69</v>
      </c>
      <c r="V13" s="39">
        <f>+L13+M13</f>
        <v>1322184.4586221757</v>
      </c>
      <c r="W13" s="15">
        <f>+W14</f>
        <v>59</v>
      </c>
      <c r="X13" s="15">
        <f t="shared" ref="X13:AA13" si="7">+X14</f>
        <v>48</v>
      </c>
      <c r="Y13" s="15">
        <f t="shared" si="7"/>
        <v>53</v>
      </c>
      <c r="Z13" s="15">
        <f t="shared" si="7"/>
        <v>55</v>
      </c>
      <c r="AA13" s="15">
        <f t="shared" si="7"/>
        <v>63</v>
      </c>
      <c r="AB13" s="19">
        <f t="shared" si="4"/>
        <v>6.7796610169491525E-2</v>
      </c>
    </row>
    <row r="14" spans="1:29" x14ac:dyDescent="0.15">
      <c r="A14" s="8" t="s">
        <v>62</v>
      </c>
      <c r="B14" s="8" t="s">
        <v>195</v>
      </c>
      <c r="C14" s="8" t="s">
        <v>246</v>
      </c>
      <c r="D14" s="8" t="s">
        <v>247</v>
      </c>
      <c r="E14" s="8" t="s">
        <v>30</v>
      </c>
      <c r="F14" s="8" t="s">
        <v>2</v>
      </c>
      <c r="G14" s="9">
        <v>458631.01</v>
      </c>
      <c r="H14" s="43">
        <v>-102556.45</v>
      </c>
      <c r="I14" s="43">
        <v>356074.56</v>
      </c>
      <c r="J14" s="47"/>
      <c r="K14" s="47"/>
      <c r="L14" s="47"/>
      <c r="M14" s="58"/>
      <c r="N14" s="58"/>
      <c r="O14" s="58"/>
      <c r="P14" s="58"/>
      <c r="Q14" s="58"/>
      <c r="R14" s="58"/>
      <c r="S14" s="40"/>
      <c r="T14" s="40"/>
      <c r="U14" s="40"/>
      <c r="V14" s="40"/>
      <c r="W14" s="25">
        <v>59</v>
      </c>
      <c r="X14" s="25">
        <v>48</v>
      </c>
      <c r="Y14" s="25">
        <v>53</v>
      </c>
      <c r="Z14" s="16">
        <v>55</v>
      </c>
      <c r="AA14" s="16">
        <v>63</v>
      </c>
      <c r="AB14" s="20"/>
    </row>
    <row r="15" spans="1:29" ht="30" x14ac:dyDescent="0.15">
      <c r="A15" s="5"/>
      <c r="B15" s="5" t="s">
        <v>0</v>
      </c>
      <c r="C15" s="5" t="s">
        <v>0</v>
      </c>
      <c r="D15" s="5" t="s">
        <v>0</v>
      </c>
      <c r="E15" s="50" t="s">
        <v>506</v>
      </c>
      <c r="F15" s="5" t="s">
        <v>2</v>
      </c>
      <c r="G15" s="6">
        <f>SUM(G16:G18)</f>
        <v>213564.49000000002</v>
      </c>
      <c r="H15" s="42">
        <f t="shared" ref="H15:I15" si="8">SUM(H16:H18)</f>
        <v>-44862.3</v>
      </c>
      <c r="I15" s="6">
        <f t="shared" si="8"/>
        <v>168702.19</v>
      </c>
      <c r="J15" s="42">
        <f>2105939.005+253537</f>
        <v>2359476.0049999999</v>
      </c>
      <c r="K15" s="42">
        <f>-364909.95928997-38804</f>
        <v>-403713.95928996999</v>
      </c>
      <c r="L15" s="42">
        <f>+J15+K15</f>
        <v>1955762.04571003</v>
      </c>
      <c r="M15" s="57">
        <f>-1345.62-1359516.5-8870.89</f>
        <v>-1369733.01</v>
      </c>
      <c r="N15" s="57"/>
      <c r="O15" s="57"/>
      <c r="P15" s="57"/>
      <c r="Q15" s="57">
        <f>-3226.4-170374.36</f>
        <v>-173600.75999999998</v>
      </c>
      <c r="R15" s="57">
        <f>+Q15+M15</f>
        <v>-1543333.77</v>
      </c>
      <c r="S15" s="39">
        <f>+I15+R15</f>
        <v>-1374631.58</v>
      </c>
      <c r="T15" s="39">
        <f>+L15+R15</f>
        <v>412428.27571002999</v>
      </c>
      <c r="U15" s="39">
        <f>+I15+M15</f>
        <v>-1201030.82</v>
      </c>
      <c r="V15" s="39">
        <f>+L15+M15</f>
        <v>586029.03571003</v>
      </c>
      <c r="W15" s="15">
        <f>SUM(W16:W18)</f>
        <v>32</v>
      </c>
      <c r="X15" s="15">
        <f t="shared" ref="X15:AA15" si="9">SUM(X16:X18)</f>
        <v>26</v>
      </c>
      <c r="Y15" s="15">
        <f t="shared" si="9"/>
        <v>34</v>
      </c>
      <c r="Z15" s="15">
        <f t="shared" si="9"/>
        <v>34</v>
      </c>
      <c r="AA15" s="15">
        <f t="shared" si="9"/>
        <v>35</v>
      </c>
      <c r="AB15" s="31">
        <f>+(AA15-W15)/W15</f>
        <v>9.375E-2</v>
      </c>
    </row>
    <row r="16" spans="1:29" x14ac:dyDescent="0.15">
      <c r="A16" s="8" t="s">
        <v>62</v>
      </c>
      <c r="B16" s="8" t="s">
        <v>117</v>
      </c>
      <c r="C16" s="8" t="s">
        <v>125</v>
      </c>
      <c r="D16" s="8" t="s">
        <v>126</v>
      </c>
      <c r="E16" s="8" t="s">
        <v>32</v>
      </c>
      <c r="F16" s="8" t="s">
        <v>2</v>
      </c>
      <c r="G16" s="9">
        <v>35808.1</v>
      </c>
      <c r="H16" s="43">
        <v>-18238.099999999999</v>
      </c>
      <c r="I16" s="43">
        <v>17570</v>
      </c>
      <c r="J16" s="47"/>
      <c r="K16" s="47"/>
      <c r="L16" s="47"/>
      <c r="M16" s="58"/>
      <c r="N16" s="58"/>
      <c r="O16" s="58"/>
      <c r="P16" s="58"/>
      <c r="Q16" s="58"/>
      <c r="R16" s="58"/>
      <c r="S16" s="40"/>
      <c r="T16" s="40"/>
      <c r="U16" s="40"/>
      <c r="V16" s="40"/>
      <c r="W16" s="25">
        <v>9</v>
      </c>
      <c r="X16" s="25">
        <v>9</v>
      </c>
      <c r="Y16" s="25">
        <v>10</v>
      </c>
      <c r="Z16" s="16">
        <v>8</v>
      </c>
      <c r="AA16" s="16">
        <v>6</v>
      </c>
      <c r="AB16" s="30">
        <f>+(AA16-W16)/W16</f>
        <v>-0.33333333333333331</v>
      </c>
      <c r="AC16" s="33">
        <f>+AA16/AA15</f>
        <v>0.17142857142857143</v>
      </c>
    </row>
    <row r="17" spans="1:29" x14ac:dyDescent="0.15">
      <c r="A17" s="8" t="s">
        <v>62</v>
      </c>
      <c r="B17" s="8" t="s">
        <v>195</v>
      </c>
      <c r="C17" s="8" t="s">
        <v>239</v>
      </c>
      <c r="D17" s="8" t="s">
        <v>240</v>
      </c>
      <c r="E17" s="8" t="s">
        <v>241</v>
      </c>
      <c r="F17" s="8" t="s">
        <v>2</v>
      </c>
      <c r="G17" s="9">
        <v>3012</v>
      </c>
      <c r="H17" s="43"/>
      <c r="I17" s="43">
        <v>3012</v>
      </c>
      <c r="J17" s="47"/>
      <c r="K17" s="47"/>
      <c r="L17" s="47"/>
      <c r="M17" s="58"/>
      <c r="N17" s="58"/>
      <c r="O17" s="58"/>
      <c r="P17" s="58"/>
      <c r="Q17" s="58"/>
      <c r="R17" s="58"/>
      <c r="S17" s="40"/>
      <c r="T17" s="40"/>
      <c r="U17" s="40"/>
      <c r="V17" s="40"/>
      <c r="W17" s="25">
        <v>23</v>
      </c>
      <c r="X17" s="25">
        <v>17</v>
      </c>
      <c r="Y17" s="25">
        <v>14</v>
      </c>
      <c r="Z17" s="16">
        <v>0</v>
      </c>
      <c r="AA17" s="16">
        <v>1</v>
      </c>
      <c r="AB17" s="30">
        <f>+(AA17-W17)/W17</f>
        <v>-0.95652173913043481</v>
      </c>
      <c r="AC17" s="33">
        <f>+AA17/AA15</f>
        <v>2.8571428571428571E-2</v>
      </c>
    </row>
    <row r="18" spans="1:29" x14ac:dyDescent="0.15">
      <c r="A18" s="8" t="s">
        <v>62</v>
      </c>
      <c r="B18" s="8" t="s">
        <v>195</v>
      </c>
      <c r="C18" s="8" t="s">
        <v>242</v>
      </c>
      <c r="D18" s="8" t="s">
        <v>243</v>
      </c>
      <c r="E18" s="8" t="s">
        <v>241</v>
      </c>
      <c r="F18" s="8" t="s">
        <v>2</v>
      </c>
      <c r="G18" s="9">
        <v>174744.39</v>
      </c>
      <c r="H18" s="43">
        <v>-26624.2</v>
      </c>
      <c r="I18" s="43">
        <v>148120.19</v>
      </c>
      <c r="J18" s="47"/>
      <c r="K18" s="47"/>
      <c r="L18" s="47"/>
      <c r="M18" s="58"/>
      <c r="N18" s="58"/>
      <c r="O18" s="58"/>
      <c r="P18" s="58"/>
      <c r="Q18" s="58"/>
      <c r="R18" s="58"/>
      <c r="S18" s="40"/>
      <c r="T18" s="40"/>
      <c r="U18" s="40"/>
      <c r="V18" s="40"/>
      <c r="W18" s="25"/>
      <c r="X18" s="25"/>
      <c r="Y18" s="25">
        <v>10</v>
      </c>
      <c r="Z18" s="16">
        <v>26</v>
      </c>
      <c r="AA18" s="16">
        <v>28</v>
      </c>
      <c r="AB18" s="20">
        <f>+(AA18-Y18)/Y18</f>
        <v>1.8</v>
      </c>
      <c r="AC18" s="33">
        <f>+AA18/AA15</f>
        <v>0.8</v>
      </c>
    </row>
    <row r="19" spans="1:29" x14ac:dyDescent="0.15">
      <c r="A19" s="5"/>
      <c r="B19" s="5" t="s">
        <v>0</v>
      </c>
      <c r="C19" s="5" t="s">
        <v>0</v>
      </c>
      <c r="D19" s="5" t="s">
        <v>0</v>
      </c>
      <c r="E19" s="5" t="s">
        <v>5</v>
      </c>
      <c r="F19" s="5" t="s">
        <v>6</v>
      </c>
      <c r="G19" s="6">
        <f t="shared" ref="G19:H19" si="10">SUM(G20:G22)</f>
        <v>696825.78</v>
      </c>
      <c r="H19" s="42">
        <f t="shared" si="10"/>
        <v>-99386.932499999995</v>
      </c>
      <c r="I19" s="42">
        <f>SUM(I20:I22)</f>
        <v>597438.84749999992</v>
      </c>
      <c r="J19" s="42">
        <v>738361.02</v>
      </c>
      <c r="K19" s="42">
        <f>-67757.0883202973-714</f>
        <v>-68471.088320297305</v>
      </c>
      <c r="L19" s="42">
        <f>+J19+K19</f>
        <v>669889.93167970271</v>
      </c>
      <c r="M19" s="57">
        <v>-625799.03</v>
      </c>
      <c r="N19" s="57"/>
      <c r="O19" s="57"/>
      <c r="P19" s="57"/>
      <c r="Q19" s="57"/>
      <c r="R19" s="57">
        <f>+Q19+M19</f>
        <v>-625799.03</v>
      </c>
      <c r="S19" s="39">
        <f>+I19+R19</f>
        <v>-28360.182500000112</v>
      </c>
      <c r="T19" s="39">
        <f>+L19+R19</f>
        <v>44090.901679702685</v>
      </c>
      <c r="U19" s="39">
        <f>+I19+M19</f>
        <v>-28360.182500000112</v>
      </c>
      <c r="V19" s="39">
        <f>+L19+M19</f>
        <v>44090.901679702685</v>
      </c>
      <c r="W19" s="15">
        <f>SUM(W20:W22)</f>
        <v>98</v>
      </c>
      <c r="X19" s="15">
        <f>SUM(X20:X22)</f>
        <v>110</v>
      </c>
      <c r="Y19" s="15">
        <f>SUM(Y20:Y22)</f>
        <v>94</v>
      </c>
      <c r="Z19" s="15">
        <f>SUM(Z20:Z22)</f>
        <v>101</v>
      </c>
      <c r="AA19" s="15">
        <f>SUM(AA20:AA22)</f>
        <v>100</v>
      </c>
      <c r="AB19" s="19">
        <f>+(AA19-W19)/W19</f>
        <v>2.0408163265306121E-2</v>
      </c>
    </row>
    <row r="20" spans="1:29" x14ac:dyDescent="0.15">
      <c r="A20" s="8" t="s">
        <v>321</v>
      </c>
      <c r="B20" s="8" t="s">
        <v>322</v>
      </c>
      <c r="C20" s="8" t="s">
        <v>325</v>
      </c>
      <c r="D20" s="8" t="s">
        <v>326</v>
      </c>
      <c r="E20" s="8" t="s">
        <v>5</v>
      </c>
      <c r="F20" s="8" t="s">
        <v>6</v>
      </c>
      <c r="G20" s="9">
        <v>270739.78000000003</v>
      </c>
      <c r="H20" s="43">
        <v>-66048</v>
      </c>
      <c r="I20" s="43">
        <v>204691.78</v>
      </c>
      <c r="J20" s="47"/>
      <c r="K20" s="47"/>
      <c r="L20" s="47"/>
      <c r="M20" s="58"/>
      <c r="N20" s="58"/>
      <c r="O20" s="58"/>
      <c r="P20" s="58"/>
      <c r="Q20" s="58"/>
      <c r="R20" s="58"/>
      <c r="S20" s="40"/>
      <c r="T20" s="40"/>
      <c r="U20" s="40"/>
      <c r="V20" s="40"/>
      <c r="W20" s="25">
        <v>41</v>
      </c>
      <c r="X20" s="25">
        <v>45</v>
      </c>
      <c r="Y20" s="16">
        <v>35</v>
      </c>
      <c r="Z20" s="16">
        <v>29</v>
      </c>
      <c r="AA20" s="16">
        <v>39</v>
      </c>
      <c r="AB20" s="30">
        <f t="shared" ref="AB20:AB22" si="11">+(AA20-W20)/W20</f>
        <v>-4.878048780487805E-2</v>
      </c>
      <c r="AC20" s="33">
        <f>+AA20/AA19</f>
        <v>0.39</v>
      </c>
    </row>
    <row r="21" spans="1:29" x14ac:dyDescent="0.15">
      <c r="A21" s="8" t="s">
        <v>321</v>
      </c>
      <c r="B21" s="8" t="s">
        <v>322</v>
      </c>
      <c r="C21" s="8" t="s">
        <v>444</v>
      </c>
      <c r="D21" s="8" t="s">
        <v>445</v>
      </c>
      <c r="E21" s="8" t="s">
        <v>5</v>
      </c>
      <c r="F21" s="8" t="s">
        <v>6</v>
      </c>
      <c r="G21" s="9">
        <v>74535.95</v>
      </c>
      <c r="H21" s="43">
        <v>-1750</v>
      </c>
      <c r="I21" s="43">
        <v>72785.95</v>
      </c>
      <c r="J21" s="47"/>
      <c r="K21" s="47"/>
      <c r="L21" s="47"/>
      <c r="M21" s="58"/>
      <c r="N21" s="58"/>
      <c r="O21" s="58"/>
      <c r="P21" s="58"/>
      <c r="Q21" s="58"/>
      <c r="R21" s="58"/>
      <c r="S21" s="40"/>
      <c r="T21" s="40"/>
      <c r="U21" s="40"/>
      <c r="V21" s="40"/>
      <c r="W21" s="25">
        <v>23</v>
      </c>
      <c r="X21" s="25">
        <v>25</v>
      </c>
      <c r="Y21" s="16">
        <v>18</v>
      </c>
      <c r="Z21" s="16">
        <v>20</v>
      </c>
      <c r="AA21" s="16">
        <v>14</v>
      </c>
      <c r="AB21" s="30">
        <f>+(AA21-W21)/W21</f>
        <v>-0.39130434782608697</v>
      </c>
      <c r="AC21" s="33">
        <f>+AA21/AA15</f>
        <v>0.4</v>
      </c>
    </row>
    <row r="22" spans="1:29" x14ac:dyDescent="0.15">
      <c r="A22" s="8" t="s">
        <v>321</v>
      </c>
      <c r="B22" s="8" t="s">
        <v>322</v>
      </c>
      <c r="C22" s="8" t="s">
        <v>442</v>
      </c>
      <c r="D22" s="8" t="s">
        <v>443</v>
      </c>
      <c r="E22" s="8" t="s">
        <v>5</v>
      </c>
      <c r="F22" s="8" t="s">
        <v>6</v>
      </c>
      <c r="G22" s="9">
        <v>351550.05</v>
      </c>
      <c r="H22" s="43">
        <v>-31588.932499999999</v>
      </c>
      <c r="I22" s="43">
        <v>319961.11749999999</v>
      </c>
      <c r="J22" s="47"/>
      <c r="K22" s="47"/>
      <c r="L22" s="47"/>
      <c r="M22" s="58"/>
      <c r="N22" s="58"/>
      <c r="O22" s="58"/>
      <c r="P22" s="58"/>
      <c r="Q22" s="58"/>
      <c r="R22" s="58"/>
      <c r="S22" s="40"/>
      <c r="T22" s="40"/>
      <c r="U22" s="40"/>
      <c r="V22" s="40"/>
      <c r="W22" s="25">
        <v>34</v>
      </c>
      <c r="X22" s="25">
        <v>40</v>
      </c>
      <c r="Y22" s="16">
        <v>41</v>
      </c>
      <c r="Z22" s="16">
        <v>52</v>
      </c>
      <c r="AA22" s="16">
        <v>47</v>
      </c>
      <c r="AB22" s="21">
        <f t="shared" si="11"/>
        <v>0.38235294117647056</v>
      </c>
      <c r="AC22" s="33">
        <f>+AA22/AA19</f>
        <v>0.47</v>
      </c>
    </row>
    <row r="23" spans="1:29" x14ac:dyDescent="0.15">
      <c r="A23" s="5"/>
      <c r="B23" s="5" t="s">
        <v>0</v>
      </c>
      <c r="C23" s="5" t="s">
        <v>0</v>
      </c>
      <c r="D23" s="5" t="s">
        <v>0</v>
      </c>
      <c r="E23" s="5" t="s">
        <v>7</v>
      </c>
      <c r="F23" s="5" t="s">
        <v>6</v>
      </c>
      <c r="G23" s="6">
        <v>1155516.26</v>
      </c>
      <c r="H23" s="42">
        <v>-244233.41</v>
      </c>
      <c r="I23" s="42">
        <v>911282.85</v>
      </c>
      <c r="J23" s="42">
        <f>1480562.52+3567</f>
        <v>1484129.52</v>
      </c>
      <c r="K23" s="42">
        <f>-272814.807135383-187.5</f>
        <v>-273002.30713538302</v>
      </c>
      <c r="L23" s="42">
        <f>+J23+K23</f>
        <v>1211127.2128646169</v>
      </c>
      <c r="M23" s="57">
        <f>-874617.85-N23</f>
        <v>-867613.29999999993</v>
      </c>
      <c r="N23" s="57">
        <v>-7004.55</v>
      </c>
      <c r="O23" s="57"/>
      <c r="P23" s="57"/>
      <c r="Q23" s="57">
        <v>-5347.23</v>
      </c>
      <c r="R23" s="57">
        <f>+Q23+M23</f>
        <v>-872960.52999999991</v>
      </c>
      <c r="S23" s="39">
        <f>+I23+R23</f>
        <v>38322.320000000065</v>
      </c>
      <c r="T23" s="39">
        <f>+L23+R23</f>
        <v>338166.68286461697</v>
      </c>
      <c r="U23" s="39">
        <f>+I23+M23</f>
        <v>43669.550000000047</v>
      </c>
      <c r="V23" s="39">
        <f>+L23+M23</f>
        <v>343513.91286461696</v>
      </c>
      <c r="W23" s="15">
        <f>SUM(W24:W28)</f>
        <v>198</v>
      </c>
      <c r="X23" s="15">
        <f t="shared" ref="X23:AA23" si="12">SUM(X24:X28)</f>
        <v>191</v>
      </c>
      <c r="Y23" s="15">
        <f t="shared" si="12"/>
        <v>174</v>
      </c>
      <c r="Z23" s="15">
        <f t="shared" si="12"/>
        <v>172</v>
      </c>
      <c r="AA23" s="15">
        <f t="shared" si="12"/>
        <v>172</v>
      </c>
      <c r="AB23" s="19">
        <f>+(AA23-W23)/W23</f>
        <v>-0.13131313131313133</v>
      </c>
    </row>
    <row r="24" spans="1:29" x14ac:dyDescent="0.15">
      <c r="A24" s="8" t="s">
        <v>62</v>
      </c>
      <c r="B24" s="8" t="s">
        <v>195</v>
      </c>
      <c r="C24" s="8" t="s">
        <v>200</v>
      </c>
      <c r="D24" s="8" t="s">
        <v>201</v>
      </c>
      <c r="E24" s="8" t="s">
        <v>7</v>
      </c>
      <c r="F24" s="8" t="s">
        <v>6</v>
      </c>
      <c r="G24" s="9">
        <v>67592</v>
      </c>
      <c r="H24" s="43">
        <v>-10735.2</v>
      </c>
      <c r="I24" s="43">
        <v>56856.800000000003</v>
      </c>
      <c r="J24" s="47"/>
      <c r="K24" s="47"/>
      <c r="L24" s="47"/>
      <c r="M24" s="58"/>
      <c r="N24" s="58"/>
      <c r="O24" s="58"/>
      <c r="P24" s="58"/>
      <c r="Q24" s="58"/>
      <c r="R24" s="58"/>
      <c r="S24" s="40"/>
      <c r="T24" s="40"/>
      <c r="U24" s="40"/>
      <c r="V24" s="40"/>
      <c r="W24" s="25">
        <v>25</v>
      </c>
      <c r="X24" s="25">
        <v>21</v>
      </c>
      <c r="Y24" s="25">
        <v>25</v>
      </c>
      <c r="Z24" s="16">
        <v>20</v>
      </c>
      <c r="AA24" s="16">
        <v>19</v>
      </c>
      <c r="AB24" s="30">
        <f t="shared" ref="AB24:AB28" si="13">+(AA24-W24)/W24</f>
        <v>-0.24</v>
      </c>
      <c r="AC24" s="33">
        <f>+AA24/AA23</f>
        <v>0.11046511627906977</v>
      </c>
    </row>
    <row r="25" spans="1:29" x14ac:dyDescent="0.15">
      <c r="A25" s="8" t="s">
        <v>62</v>
      </c>
      <c r="B25" s="8" t="s">
        <v>63</v>
      </c>
      <c r="C25" s="8" t="s">
        <v>64</v>
      </c>
      <c r="D25" s="8" t="s">
        <v>65</v>
      </c>
      <c r="E25" s="8" t="s">
        <v>7</v>
      </c>
      <c r="F25" s="8" t="s">
        <v>6</v>
      </c>
      <c r="G25" s="9">
        <v>5132.5</v>
      </c>
      <c r="H25" s="43">
        <v>-3939.7</v>
      </c>
      <c r="I25" s="43">
        <v>1192.8</v>
      </c>
      <c r="J25" s="47"/>
      <c r="K25" s="47"/>
      <c r="L25" s="47"/>
      <c r="M25" s="58"/>
      <c r="N25" s="58"/>
      <c r="O25" s="58"/>
      <c r="P25" s="58"/>
      <c r="Q25" s="58"/>
      <c r="R25" s="58"/>
      <c r="S25" s="40"/>
      <c r="T25" s="40"/>
      <c r="U25" s="40"/>
      <c r="V25" s="40"/>
      <c r="W25" s="16">
        <v>5</v>
      </c>
      <c r="X25" s="16">
        <v>4</v>
      </c>
      <c r="Y25" s="16">
        <v>5</v>
      </c>
      <c r="Z25" s="16">
        <v>5</v>
      </c>
      <c r="AA25" s="16">
        <v>3</v>
      </c>
      <c r="AB25" s="30">
        <f t="shared" si="13"/>
        <v>-0.4</v>
      </c>
      <c r="AC25" s="33">
        <f>+AA25/AA23</f>
        <v>1.7441860465116279E-2</v>
      </c>
    </row>
    <row r="26" spans="1:29" x14ac:dyDescent="0.15">
      <c r="A26" s="8" t="s">
        <v>62</v>
      </c>
      <c r="B26" s="8" t="s">
        <v>195</v>
      </c>
      <c r="C26" s="8" t="s">
        <v>301</v>
      </c>
      <c r="D26" s="8" t="s">
        <v>302</v>
      </c>
      <c r="E26" s="8" t="s">
        <v>7</v>
      </c>
      <c r="F26" s="8" t="s">
        <v>6</v>
      </c>
      <c r="G26" s="9">
        <v>27268.1</v>
      </c>
      <c r="H26" s="43">
        <v>-8747.2000000000007</v>
      </c>
      <c r="I26" s="43">
        <v>18520.900000000001</v>
      </c>
      <c r="J26" s="47"/>
      <c r="K26" s="47"/>
      <c r="L26" s="47"/>
      <c r="M26" s="58"/>
      <c r="N26" s="58"/>
      <c r="O26" s="58"/>
      <c r="P26" s="58"/>
      <c r="Q26" s="58"/>
      <c r="R26" s="58"/>
      <c r="S26" s="40"/>
      <c r="T26" s="40"/>
      <c r="U26" s="40"/>
      <c r="V26" s="40"/>
      <c r="W26" s="25">
        <v>9</v>
      </c>
      <c r="X26" s="25">
        <v>8</v>
      </c>
      <c r="Y26" s="25">
        <v>7</v>
      </c>
      <c r="Z26" s="16">
        <v>7</v>
      </c>
      <c r="AA26" s="16">
        <v>6</v>
      </c>
      <c r="AB26" s="30">
        <f t="shared" si="13"/>
        <v>-0.33333333333333331</v>
      </c>
      <c r="AC26" s="33">
        <f>+AA26/AA23</f>
        <v>3.4883720930232558E-2</v>
      </c>
    </row>
    <row r="27" spans="1:29" x14ac:dyDescent="0.15">
      <c r="A27" s="8" t="s">
        <v>321</v>
      </c>
      <c r="B27" s="8" t="s">
        <v>322</v>
      </c>
      <c r="C27" s="8" t="s">
        <v>327</v>
      </c>
      <c r="D27" s="8" t="s">
        <v>328</v>
      </c>
      <c r="E27" s="8" t="s">
        <v>7</v>
      </c>
      <c r="F27" s="8" t="s">
        <v>6</v>
      </c>
      <c r="G27" s="9">
        <v>172654.6</v>
      </c>
      <c r="H27" s="43">
        <v>-29544.55</v>
      </c>
      <c r="I27" s="43">
        <v>143110.04999999999</v>
      </c>
      <c r="J27" s="47"/>
      <c r="K27" s="47"/>
      <c r="L27" s="47"/>
      <c r="M27" s="58"/>
      <c r="N27" s="58"/>
      <c r="O27" s="58"/>
      <c r="P27" s="58"/>
      <c r="Q27" s="58"/>
      <c r="R27" s="58"/>
      <c r="S27" s="40"/>
      <c r="T27" s="40"/>
      <c r="U27" s="40"/>
      <c r="V27" s="40"/>
      <c r="W27" s="25">
        <v>27</v>
      </c>
      <c r="X27" s="25">
        <v>32</v>
      </c>
      <c r="Y27" s="16">
        <v>28</v>
      </c>
      <c r="Z27" s="16">
        <v>33</v>
      </c>
      <c r="AA27" s="16">
        <v>25</v>
      </c>
      <c r="AB27" s="30">
        <f t="shared" si="13"/>
        <v>-7.407407407407407E-2</v>
      </c>
      <c r="AC27" s="33">
        <f>+AA27/AA23</f>
        <v>0.14534883720930233</v>
      </c>
    </row>
    <row r="28" spans="1:29" x14ac:dyDescent="0.15">
      <c r="A28" s="8" t="s">
        <v>321</v>
      </c>
      <c r="B28" s="8" t="s">
        <v>322</v>
      </c>
      <c r="C28" s="8" t="s">
        <v>438</v>
      </c>
      <c r="D28" s="8" t="s">
        <v>439</v>
      </c>
      <c r="E28" s="8" t="s">
        <v>7</v>
      </c>
      <c r="F28" s="8" t="s">
        <v>6</v>
      </c>
      <c r="G28" s="9">
        <v>882869.06</v>
      </c>
      <c r="H28" s="43">
        <v>-191266.76</v>
      </c>
      <c r="I28" s="43">
        <v>691602.3</v>
      </c>
      <c r="J28" s="47"/>
      <c r="K28" s="47"/>
      <c r="L28" s="47"/>
      <c r="M28" s="58"/>
      <c r="N28" s="58"/>
      <c r="O28" s="58"/>
      <c r="P28" s="58"/>
      <c r="Q28" s="58"/>
      <c r="R28" s="58"/>
      <c r="S28" s="40"/>
      <c r="T28" s="40"/>
      <c r="U28" s="40"/>
      <c r="V28" s="40"/>
      <c r="W28" s="25">
        <v>132</v>
      </c>
      <c r="X28" s="25">
        <v>126</v>
      </c>
      <c r="Y28" s="16">
        <v>109</v>
      </c>
      <c r="Z28" s="16">
        <v>107</v>
      </c>
      <c r="AA28" s="16">
        <v>119</v>
      </c>
      <c r="AB28" s="30">
        <f t="shared" si="13"/>
        <v>-9.8484848484848481E-2</v>
      </c>
      <c r="AC28" s="33">
        <f>+AA28/AA23</f>
        <v>0.69186046511627908</v>
      </c>
    </row>
    <row r="29" spans="1:29" x14ac:dyDescent="0.15">
      <c r="A29" s="5"/>
      <c r="B29" s="5" t="s">
        <v>0</v>
      </c>
      <c r="C29" s="5" t="s">
        <v>0</v>
      </c>
      <c r="D29" s="5" t="s">
        <v>0</v>
      </c>
      <c r="E29" s="5" t="s">
        <v>16</v>
      </c>
      <c r="F29" s="5" t="s">
        <v>6</v>
      </c>
      <c r="G29" s="6">
        <v>2423914.4500000002</v>
      </c>
      <c r="H29" s="42">
        <v>-419063.88250000001</v>
      </c>
      <c r="I29" s="42">
        <v>2004850.5674999999</v>
      </c>
      <c r="J29" s="42">
        <f>2142102.585+683813.28</f>
        <v>2825915.8650000002</v>
      </c>
      <c r="K29" s="42">
        <f>-353508.424382569-153550.63</f>
        <v>-507059.05438256898</v>
      </c>
      <c r="L29" s="42">
        <f>+J29+K29</f>
        <v>2318856.8106174311</v>
      </c>
      <c r="M29" s="57">
        <v>-1259370.8500000001</v>
      </c>
      <c r="N29" s="57"/>
      <c r="O29" s="57">
        <v>-946</v>
      </c>
      <c r="P29" s="57"/>
      <c r="Q29" s="57"/>
      <c r="R29" s="57">
        <f>+Q29+M29</f>
        <v>-1259370.8500000001</v>
      </c>
      <c r="S29" s="39">
        <f>+I29+R29</f>
        <v>745479.7174999998</v>
      </c>
      <c r="T29" s="39">
        <f>+L29+R29</f>
        <v>1059485.960617431</v>
      </c>
      <c r="U29" s="39">
        <f>+I29+M29</f>
        <v>745479.7174999998</v>
      </c>
      <c r="V29" s="39">
        <f>+L29+M29</f>
        <v>1059485.960617431</v>
      </c>
      <c r="W29" s="15">
        <f>SUM(W30:W31)</f>
        <v>425</v>
      </c>
      <c r="X29" s="15">
        <f t="shared" ref="X29:AA29" si="14">SUM(X30:X31)</f>
        <v>423</v>
      </c>
      <c r="Y29" s="15">
        <f t="shared" si="14"/>
        <v>439</v>
      </c>
      <c r="Z29" s="15">
        <f t="shared" si="14"/>
        <v>412</v>
      </c>
      <c r="AA29" s="15">
        <f t="shared" si="14"/>
        <v>383</v>
      </c>
      <c r="AB29" s="31">
        <f>+(AA29-W29)/W29</f>
        <v>-9.8823529411764699E-2</v>
      </c>
    </row>
    <row r="30" spans="1:29" x14ac:dyDescent="0.15">
      <c r="A30" s="8" t="s">
        <v>321</v>
      </c>
      <c r="B30" s="8" t="s">
        <v>322</v>
      </c>
      <c r="C30" s="8" t="s">
        <v>341</v>
      </c>
      <c r="D30" s="8" t="s">
        <v>342</v>
      </c>
      <c r="E30" s="8" t="s">
        <v>16</v>
      </c>
      <c r="F30" s="8" t="s">
        <v>6</v>
      </c>
      <c r="G30" s="9">
        <v>2132623.69</v>
      </c>
      <c r="H30" s="43">
        <v>-350211.28249999997</v>
      </c>
      <c r="I30" s="43">
        <v>1782412.4075</v>
      </c>
      <c r="J30" s="47"/>
      <c r="K30" s="47"/>
      <c r="L30" s="47"/>
      <c r="M30" s="58"/>
      <c r="N30" s="58"/>
      <c r="O30" s="58"/>
      <c r="P30" s="58"/>
      <c r="Q30" s="58"/>
      <c r="R30" s="58"/>
      <c r="S30" s="40"/>
      <c r="T30" s="40"/>
      <c r="U30" s="40"/>
      <c r="V30" s="40"/>
      <c r="W30" s="25">
        <v>425</v>
      </c>
      <c r="X30" s="25">
        <v>423</v>
      </c>
      <c r="Y30" s="16">
        <v>405</v>
      </c>
      <c r="Z30" s="16">
        <v>373</v>
      </c>
      <c r="AA30" s="16">
        <v>340</v>
      </c>
      <c r="AB30" s="30">
        <f>+(AA30-W30)/W30</f>
        <v>-0.2</v>
      </c>
      <c r="AC30" s="33">
        <f>+AA30/AA29</f>
        <v>0.8877284595300261</v>
      </c>
    </row>
    <row r="31" spans="1:29" x14ac:dyDescent="0.15">
      <c r="A31" s="8" t="s">
        <v>321</v>
      </c>
      <c r="B31" s="8" t="s">
        <v>322</v>
      </c>
      <c r="C31" s="8" t="s">
        <v>371</v>
      </c>
      <c r="D31" s="8" t="s">
        <v>372</v>
      </c>
      <c r="E31" s="8" t="s">
        <v>16</v>
      </c>
      <c r="F31" s="8" t="s">
        <v>6</v>
      </c>
      <c r="G31" s="9">
        <v>291290.76</v>
      </c>
      <c r="H31" s="43">
        <v>-68852.600000000006</v>
      </c>
      <c r="I31" s="43">
        <v>222438.16</v>
      </c>
      <c r="J31" s="47"/>
      <c r="K31" s="47"/>
      <c r="L31" s="47"/>
      <c r="M31" s="58"/>
      <c r="N31" s="58"/>
      <c r="O31" s="58"/>
      <c r="P31" s="58"/>
      <c r="Q31" s="58"/>
      <c r="R31" s="58"/>
      <c r="S31" s="40"/>
      <c r="T31" s="40"/>
      <c r="U31" s="40"/>
      <c r="V31" s="40"/>
      <c r="W31" s="16"/>
      <c r="X31" s="16"/>
      <c r="Y31" s="16">
        <v>34</v>
      </c>
      <c r="Z31" s="16">
        <v>39</v>
      </c>
      <c r="AA31" s="16">
        <v>43</v>
      </c>
      <c r="AB31" s="20">
        <f>+(AA31-Y31)/Y31</f>
        <v>0.26470588235294118</v>
      </c>
      <c r="AC31" s="33">
        <f>+AA31/AA29</f>
        <v>0.1122715404699739</v>
      </c>
    </row>
    <row r="32" spans="1:29" x14ac:dyDescent="0.15">
      <c r="A32" s="5"/>
      <c r="B32" s="5" t="s">
        <v>0</v>
      </c>
      <c r="C32" s="5" t="s">
        <v>0</v>
      </c>
      <c r="D32" s="5" t="s">
        <v>0</v>
      </c>
      <c r="E32" s="5" t="s">
        <v>21</v>
      </c>
      <c r="F32" s="5" t="s">
        <v>6</v>
      </c>
      <c r="G32" s="6">
        <v>1798571.82</v>
      </c>
      <c r="H32" s="42">
        <v>-387528.77750000003</v>
      </c>
      <c r="I32" s="42">
        <v>1411043.0425</v>
      </c>
      <c r="J32" s="42">
        <f>1715888.42+795.2</f>
        <v>1716683.6199999999</v>
      </c>
      <c r="K32" s="42">
        <f>-399723.929483035+1574</f>
        <v>-398149.929483035</v>
      </c>
      <c r="L32" s="42">
        <f>+J32+K32</f>
        <v>1318533.690516965</v>
      </c>
      <c r="M32" s="57">
        <v>-707698.49</v>
      </c>
      <c r="N32" s="57"/>
      <c r="O32" s="57">
        <v>-233104.63</v>
      </c>
      <c r="P32" s="57">
        <v>-3229.5</v>
      </c>
      <c r="Q32" s="57">
        <v>-1416.98</v>
      </c>
      <c r="R32" s="57">
        <f>+Q32+M32</f>
        <v>-709115.47</v>
      </c>
      <c r="S32" s="39">
        <f>+I32+R32</f>
        <v>701927.57250000001</v>
      </c>
      <c r="T32" s="39">
        <f>+L32+R32</f>
        <v>609418.22051696503</v>
      </c>
      <c r="U32" s="39">
        <f>+I32+M32</f>
        <v>703344.55249999999</v>
      </c>
      <c r="V32" s="39">
        <f>+L32+M32</f>
        <v>610835.20051696501</v>
      </c>
      <c r="W32" s="15">
        <f>SUM(W33:W34)</f>
        <v>281</v>
      </c>
      <c r="X32" s="15">
        <f t="shared" ref="X32:AA32" si="15">SUM(X33:X34)</f>
        <v>301</v>
      </c>
      <c r="Y32" s="15">
        <f t="shared" si="15"/>
        <v>310</v>
      </c>
      <c r="Z32" s="15">
        <f t="shared" si="15"/>
        <v>296</v>
      </c>
      <c r="AA32" s="15">
        <f t="shared" si="15"/>
        <v>310</v>
      </c>
      <c r="AB32" s="19">
        <f>+(AA32-W32)/W32</f>
        <v>0.10320284697508897</v>
      </c>
    </row>
    <row r="33" spans="1:29" x14ac:dyDescent="0.15">
      <c r="A33" s="8" t="s">
        <v>62</v>
      </c>
      <c r="B33" s="8" t="s">
        <v>195</v>
      </c>
      <c r="C33" s="8" t="s">
        <v>225</v>
      </c>
      <c r="D33" s="8" t="s">
        <v>226</v>
      </c>
      <c r="E33" s="8" t="s">
        <v>21</v>
      </c>
      <c r="F33" s="8" t="s">
        <v>6</v>
      </c>
      <c r="G33" s="9">
        <v>111987.1</v>
      </c>
      <c r="H33" s="43">
        <v>-40837.9</v>
      </c>
      <c r="I33" s="43">
        <v>71149.2</v>
      </c>
      <c r="J33" s="47"/>
      <c r="K33" s="47"/>
      <c r="L33" s="47"/>
      <c r="M33" s="58"/>
      <c r="N33" s="58"/>
      <c r="O33" s="58"/>
      <c r="P33" s="58"/>
      <c r="Q33" s="58"/>
      <c r="R33" s="58"/>
      <c r="S33" s="40"/>
      <c r="T33" s="40"/>
      <c r="U33" s="40"/>
      <c r="V33" s="40"/>
      <c r="W33" s="25">
        <v>35</v>
      </c>
      <c r="X33" s="25">
        <v>32</v>
      </c>
      <c r="Y33" s="25">
        <v>35</v>
      </c>
      <c r="Z33" s="16">
        <v>31</v>
      </c>
      <c r="AA33" s="16">
        <v>26</v>
      </c>
      <c r="AB33" s="30">
        <f t="shared" ref="AB33:AB34" si="16">+(AA33-W33)/W33</f>
        <v>-0.25714285714285712</v>
      </c>
      <c r="AC33" s="33">
        <f>+AA33/AA32</f>
        <v>8.387096774193549E-2</v>
      </c>
    </row>
    <row r="34" spans="1:29" x14ac:dyDescent="0.15">
      <c r="A34" s="8" t="s">
        <v>321</v>
      </c>
      <c r="B34" s="8" t="s">
        <v>322</v>
      </c>
      <c r="C34" s="8" t="s">
        <v>347</v>
      </c>
      <c r="D34" s="8" t="s">
        <v>348</v>
      </c>
      <c r="E34" s="8" t="s">
        <v>21</v>
      </c>
      <c r="F34" s="8" t="s">
        <v>6</v>
      </c>
      <c r="G34" s="9">
        <v>1686584.72</v>
      </c>
      <c r="H34" s="43">
        <v>-346690.8775</v>
      </c>
      <c r="I34" s="43">
        <v>1339893.8425</v>
      </c>
      <c r="J34" s="47"/>
      <c r="K34" s="47"/>
      <c r="L34" s="47"/>
      <c r="M34" s="58"/>
      <c r="N34" s="58"/>
      <c r="O34" s="58"/>
      <c r="P34" s="58"/>
      <c r="Q34" s="58"/>
      <c r="R34" s="58"/>
      <c r="S34" s="40"/>
      <c r="T34" s="40"/>
      <c r="U34" s="40"/>
      <c r="V34" s="40"/>
      <c r="W34" s="25">
        <v>246</v>
      </c>
      <c r="X34" s="25">
        <v>269</v>
      </c>
      <c r="Y34" s="16">
        <v>275</v>
      </c>
      <c r="Z34" s="16">
        <v>265</v>
      </c>
      <c r="AA34" s="16">
        <v>284</v>
      </c>
      <c r="AB34" s="21">
        <f t="shared" si="16"/>
        <v>0.15447154471544716</v>
      </c>
      <c r="AC34" s="33">
        <f>+AA34/AA32</f>
        <v>0.91612903225806452</v>
      </c>
    </row>
    <row r="35" spans="1:29" x14ac:dyDescent="0.15">
      <c r="A35" s="5"/>
      <c r="B35" s="5" t="s">
        <v>0</v>
      </c>
      <c r="C35" s="5" t="s">
        <v>0</v>
      </c>
      <c r="D35" s="5" t="s">
        <v>0</v>
      </c>
      <c r="E35" s="5" t="s">
        <v>25</v>
      </c>
      <c r="F35" s="5" t="s">
        <v>6</v>
      </c>
      <c r="G35" s="6">
        <f>SUM(G36:G46)</f>
        <v>1281368.8400000001</v>
      </c>
      <c r="H35" s="42">
        <f>SUM(H36:H46)</f>
        <v>-295104.42499999999</v>
      </c>
      <c r="I35" s="42">
        <f>SUM(I36:I46)</f>
        <v>986264.41499999992</v>
      </c>
      <c r="J35" s="42">
        <v>1263064.54</v>
      </c>
      <c r="K35" s="42">
        <f>-284111.806782442-509</f>
        <v>-284620.80678244203</v>
      </c>
      <c r="L35" s="42">
        <f>+J35+K35</f>
        <v>978443.73321755801</v>
      </c>
      <c r="M35" s="57">
        <v>-884191.14</v>
      </c>
      <c r="N35" s="57"/>
      <c r="O35" s="57"/>
      <c r="P35" s="57"/>
      <c r="Q35" s="57"/>
      <c r="R35" s="57">
        <f>+Q35+M35</f>
        <v>-884191.14</v>
      </c>
      <c r="S35" s="39">
        <f>+I35+R35</f>
        <v>102073.27499999991</v>
      </c>
      <c r="T35" s="39">
        <f>+L35+R35</f>
        <v>94252.593217557995</v>
      </c>
      <c r="U35" s="39">
        <f>+I35+M35</f>
        <v>102073.27499999991</v>
      </c>
      <c r="V35" s="39">
        <f>+L35+M35</f>
        <v>94252.593217557995</v>
      </c>
      <c r="W35" s="15">
        <f>SUM(W36:W46)</f>
        <v>252</v>
      </c>
      <c r="X35" s="15">
        <f t="shared" ref="X35:AA35" si="17">SUM(X36:X46)</f>
        <v>256</v>
      </c>
      <c r="Y35" s="15">
        <f t="shared" si="17"/>
        <v>263</v>
      </c>
      <c r="Z35" s="15">
        <f t="shared" si="17"/>
        <v>248</v>
      </c>
      <c r="AA35" s="15">
        <f t="shared" si="17"/>
        <v>257</v>
      </c>
      <c r="AB35" s="31">
        <f>+(AA35-W35)/W35</f>
        <v>1.984126984126984E-2</v>
      </c>
    </row>
    <row r="36" spans="1:29" x14ac:dyDescent="0.15">
      <c r="A36" s="8" t="s">
        <v>62</v>
      </c>
      <c r="B36" s="8" t="s">
        <v>63</v>
      </c>
      <c r="C36" s="8" t="s">
        <v>89</v>
      </c>
      <c r="D36" s="8" t="s">
        <v>90</v>
      </c>
      <c r="E36" s="8" t="s">
        <v>25</v>
      </c>
      <c r="F36" s="8" t="s">
        <v>6</v>
      </c>
      <c r="G36" s="9">
        <v>75035.399999999994</v>
      </c>
      <c r="H36" s="43">
        <v>-72861.67</v>
      </c>
      <c r="I36" s="43">
        <v>2173.73</v>
      </c>
      <c r="J36" s="47"/>
      <c r="K36" s="47"/>
      <c r="L36" s="47"/>
      <c r="M36" s="58"/>
      <c r="N36" s="58"/>
      <c r="O36" s="58"/>
      <c r="P36" s="58"/>
      <c r="Q36" s="58"/>
      <c r="R36" s="58"/>
      <c r="S36" s="40"/>
      <c r="T36" s="40"/>
      <c r="U36" s="40"/>
      <c r="V36" s="40"/>
      <c r="W36" s="16">
        <v>15</v>
      </c>
      <c r="X36" s="16">
        <v>15</v>
      </c>
      <c r="Y36" s="16">
        <v>15</v>
      </c>
      <c r="Z36" s="16">
        <v>14</v>
      </c>
      <c r="AA36" s="16">
        <v>11</v>
      </c>
      <c r="AB36" s="30">
        <f t="shared" ref="AB36:AB39" si="18">+(AA36-W36)/W36</f>
        <v>-0.26666666666666666</v>
      </c>
      <c r="AC36" s="33">
        <f>+AA36/AA35</f>
        <v>4.2801556420233464E-2</v>
      </c>
    </row>
    <row r="37" spans="1:29" x14ac:dyDescent="0.15">
      <c r="A37" s="8" t="s">
        <v>62</v>
      </c>
      <c r="B37" s="8" t="s">
        <v>195</v>
      </c>
      <c r="C37" s="8" t="s">
        <v>244</v>
      </c>
      <c r="D37" s="8" t="s">
        <v>245</v>
      </c>
      <c r="E37" s="8" t="s">
        <v>25</v>
      </c>
      <c r="F37" s="8" t="s">
        <v>6</v>
      </c>
      <c r="G37" s="9">
        <v>172554.4</v>
      </c>
      <c r="H37" s="43">
        <v>-59320.1</v>
      </c>
      <c r="I37" s="43">
        <v>113234.3</v>
      </c>
      <c r="J37" s="47"/>
      <c r="K37" s="47"/>
      <c r="L37" s="47"/>
      <c r="M37" s="58"/>
      <c r="N37" s="58"/>
      <c r="O37" s="58"/>
      <c r="P37" s="58"/>
      <c r="Q37" s="58"/>
      <c r="R37" s="58"/>
      <c r="S37" s="40"/>
      <c r="T37" s="40"/>
      <c r="U37" s="40"/>
      <c r="V37" s="40"/>
      <c r="W37" s="25">
        <v>18</v>
      </c>
      <c r="X37" s="25">
        <v>20</v>
      </c>
      <c r="Y37" s="25">
        <v>20</v>
      </c>
      <c r="Z37" s="16">
        <v>27</v>
      </c>
      <c r="AA37" s="16">
        <v>26</v>
      </c>
      <c r="AB37" s="21">
        <f t="shared" si="18"/>
        <v>0.44444444444444442</v>
      </c>
      <c r="AC37" s="33">
        <f>+AA37/AA35</f>
        <v>0.10116731517509728</v>
      </c>
    </row>
    <row r="38" spans="1:29" x14ac:dyDescent="0.15">
      <c r="A38" s="8" t="s">
        <v>62</v>
      </c>
      <c r="B38" s="8" t="s">
        <v>148</v>
      </c>
      <c r="C38" s="8" t="s">
        <v>166</v>
      </c>
      <c r="D38" s="8" t="s">
        <v>167</v>
      </c>
      <c r="E38" s="8" t="s">
        <v>25</v>
      </c>
      <c r="F38" s="8" t="s">
        <v>6</v>
      </c>
      <c r="G38" s="9">
        <v>13120.8</v>
      </c>
      <c r="H38" s="43"/>
      <c r="I38" s="43">
        <v>13120.8</v>
      </c>
      <c r="J38" s="47"/>
      <c r="K38" s="47"/>
      <c r="L38" s="47"/>
      <c r="M38" s="58"/>
      <c r="N38" s="58"/>
      <c r="O38" s="58"/>
      <c r="P38" s="58"/>
      <c r="Q38" s="58"/>
      <c r="R38" s="58"/>
      <c r="S38" s="40"/>
      <c r="T38" s="40"/>
      <c r="U38" s="40"/>
      <c r="V38" s="40"/>
      <c r="W38" s="25">
        <v>14</v>
      </c>
      <c r="X38" s="25">
        <v>12</v>
      </c>
      <c r="Y38" s="25">
        <v>10</v>
      </c>
      <c r="Z38" s="16">
        <v>11</v>
      </c>
      <c r="AA38" s="16">
        <v>14</v>
      </c>
      <c r="AB38" s="21">
        <f t="shared" si="18"/>
        <v>0</v>
      </c>
      <c r="AC38" s="33">
        <f>+AA38/$AA$35</f>
        <v>5.4474708171206226E-2</v>
      </c>
    </row>
    <row r="39" spans="1:29" x14ac:dyDescent="0.15">
      <c r="A39" s="36" t="s">
        <v>321</v>
      </c>
      <c r="B39" s="36" t="s">
        <v>479</v>
      </c>
      <c r="C39" s="36" t="s">
        <v>480</v>
      </c>
      <c r="D39" s="36" t="s">
        <v>481</v>
      </c>
      <c r="E39" s="36" t="s">
        <v>25</v>
      </c>
      <c r="F39" s="36" t="s">
        <v>6</v>
      </c>
      <c r="G39" s="37">
        <v>9279.2000000000007</v>
      </c>
      <c r="H39" s="49"/>
      <c r="I39" s="49">
        <f>+G39</f>
        <v>9279.2000000000007</v>
      </c>
      <c r="J39" s="47"/>
      <c r="K39" s="47"/>
      <c r="L39" s="47"/>
      <c r="M39" s="58"/>
      <c r="N39" s="58"/>
      <c r="O39" s="58"/>
      <c r="P39" s="58"/>
      <c r="Q39" s="58"/>
      <c r="R39" s="58"/>
      <c r="S39" s="40"/>
      <c r="T39" s="40"/>
      <c r="U39" s="40"/>
      <c r="V39" s="40"/>
      <c r="W39" s="35">
        <v>22</v>
      </c>
      <c r="X39" s="35">
        <v>30</v>
      </c>
      <c r="Y39" s="35">
        <v>36</v>
      </c>
      <c r="Z39" s="35">
        <v>35</v>
      </c>
      <c r="AA39" s="35">
        <v>39</v>
      </c>
      <c r="AB39" s="21">
        <f t="shared" si="18"/>
        <v>0.77272727272727271</v>
      </c>
      <c r="AC39" s="33">
        <f>+AA39/$AA$35</f>
        <v>0.1517509727626459</v>
      </c>
    </row>
    <row r="40" spans="1:29" x14ac:dyDescent="0.15">
      <c r="A40" s="8" t="s">
        <v>321</v>
      </c>
      <c r="B40" s="8" t="s">
        <v>322</v>
      </c>
      <c r="C40" s="8" t="s">
        <v>355</v>
      </c>
      <c r="D40" s="8" t="s">
        <v>356</v>
      </c>
      <c r="E40" s="8" t="s">
        <v>25</v>
      </c>
      <c r="F40" s="8" t="s">
        <v>6</v>
      </c>
      <c r="G40" s="9">
        <v>174939.4</v>
      </c>
      <c r="H40" s="43">
        <v>-35231.474999999999</v>
      </c>
      <c r="I40" s="43">
        <v>139707.92499999999</v>
      </c>
      <c r="J40" s="47"/>
      <c r="K40" s="47"/>
      <c r="L40" s="47"/>
      <c r="M40" s="58"/>
      <c r="N40" s="58"/>
      <c r="O40" s="58"/>
      <c r="P40" s="58"/>
      <c r="Q40" s="58"/>
      <c r="R40" s="58"/>
      <c r="S40" s="40"/>
      <c r="T40" s="40"/>
      <c r="U40" s="40"/>
      <c r="V40" s="40"/>
      <c r="W40" s="16"/>
      <c r="X40" s="16"/>
      <c r="Y40" s="16"/>
      <c r="Z40" s="16"/>
      <c r="AA40" s="16">
        <v>41</v>
      </c>
      <c r="AB40" s="22"/>
      <c r="AC40" s="33">
        <f t="shared" ref="AC40:AC46" si="19">+AA40/$AA$35</f>
        <v>0.15953307392996108</v>
      </c>
    </row>
    <row r="41" spans="1:29" x14ac:dyDescent="0.15">
      <c r="A41" s="8" t="s">
        <v>321</v>
      </c>
      <c r="B41" s="8" t="s">
        <v>322</v>
      </c>
      <c r="C41" s="8" t="s">
        <v>367</v>
      </c>
      <c r="D41" s="8" t="s">
        <v>368</v>
      </c>
      <c r="E41" s="8" t="s">
        <v>25</v>
      </c>
      <c r="F41" s="8" t="s">
        <v>6</v>
      </c>
      <c r="G41" s="9">
        <v>157886.35</v>
      </c>
      <c r="H41" s="43">
        <v>-14592.2</v>
      </c>
      <c r="I41" s="43">
        <v>143294.15</v>
      </c>
      <c r="J41" s="47"/>
      <c r="K41" s="47"/>
      <c r="L41" s="47"/>
      <c r="M41" s="58"/>
      <c r="N41" s="58"/>
      <c r="O41" s="58"/>
      <c r="P41" s="58"/>
      <c r="Q41" s="58"/>
      <c r="R41" s="58"/>
      <c r="S41" s="40"/>
      <c r="T41" s="40"/>
      <c r="U41" s="40"/>
      <c r="V41" s="40"/>
      <c r="W41" s="25">
        <v>21</v>
      </c>
      <c r="X41" s="25">
        <v>26</v>
      </c>
      <c r="Y41" s="16">
        <v>27</v>
      </c>
      <c r="Z41" s="16">
        <v>33</v>
      </c>
      <c r="AA41" s="16">
        <v>32</v>
      </c>
      <c r="AB41" s="21">
        <f t="shared" ref="AB41:AB46" si="20">+(AA41-W41)/W41</f>
        <v>0.52380952380952384</v>
      </c>
      <c r="AC41" s="33">
        <f t="shared" si="19"/>
        <v>0.1245136186770428</v>
      </c>
    </row>
    <row r="42" spans="1:29" x14ac:dyDescent="0.15">
      <c r="A42" s="8" t="s">
        <v>321</v>
      </c>
      <c r="B42" s="8" t="s">
        <v>322</v>
      </c>
      <c r="C42" s="8" t="s">
        <v>365</v>
      </c>
      <c r="D42" s="8" t="s">
        <v>366</v>
      </c>
      <c r="E42" s="8" t="s">
        <v>25</v>
      </c>
      <c r="F42" s="8" t="s">
        <v>6</v>
      </c>
      <c r="G42" s="9">
        <v>468819.49</v>
      </c>
      <c r="H42" s="43">
        <v>-90171.18</v>
      </c>
      <c r="I42" s="43">
        <v>378648.31</v>
      </c>
      <c r="J42" s="47"/>
      <c r="K42" s="47"/>
      <c r="L42" s="47"/>
      <c r="M42" s="58"/>
      <c r="N42" s="58"/>
      <c r="O42" s="58"/>
      <c r="P42" s="58"/>
      <c r="Q42" s="58"/>
      <c r="R42" s="58"/>
      <c r="S42" s="40"/>
      <c r="T42" s="40"/>
      <c r="U42" s="40"/>
      <c r="V42" s="40"/>
      <c r="W42" s="25">
        <v>88</v>
      </c>
      <c r="X42" s="25">
        <v>74</v>
      </c>
      <c r="Y42" s="16">
        <v>88</v>
      </c>
      <c r="Z42" s="16">
        <v>76</v>
      </c>
      <c r="AA42" s="16">
        <v>61</v>
      </c>
      <c r="AB42" s="30">
        <f t="shared" si="20"/>
        <v>-0.30681818181818182</v>
      </c>
      <c r="AC42" s="33">
        <f t="shared" si="19"/>
        <v>0.23735408560311283</v>
      </c>
    </row>
    <row r="43" spans="1:29" x14ac:dyDescent="0.15">
      <c r="A43" s="8" t="s">
        <v>321</v>
      </c>
      <c r="B43" s="8" t="s">
        <v>322</v>
      </c>
      <c r="C43" s="8" t="s">
        <v>373</v>
      </c>
      <c r="D43" s="8" t="s">
        <v>374</v>
      </c>
      <c r="E43" s="8" t="s">
        <v>25</v>
      </c>
      <c r="F43" s="8" t="s">
        <v>6</v>
      </c>
      <c r="G43" s="9">
        <v>31826.6</v>
      </c>
      <c r="H43" s="43">
        <v>-3000</v>
      </c>
      <c r="I43" s="43">
        <v>28826.6</v>
      </c>
      <c r="J43" s="47"/>
      <c r="K43" s="47"/>
      <c r="L43" s="47"/>
      <c r="M43" s="58"/>
      <c r="N43" s="58"/>
      <c r="O43" s="58"/>
      <c r="P43" s="58"/>
      <c r="Q43" s="58"/>
      <c r="R43" s="58"/>
      <c r="S43" s="40"/>
      <c r="T43" s="40"/>
      <c r="U43" s="40"/>
      <c r="V43" s="40"/>
      <c r="W43" s="25">
        <v>3</v>
      </c>
      <c r="X43" s="25">
        <v>6</v>
      </c>
      <c r="Y43" s="16">
        <v>5</v>
      </c>
      <c r="Z43" s="16">
        <v>6</v>
      </c>
      <c r="AA43" s="16">
        <v>3</v>
      </c>
      <c r="AB43" s="21">
        <f t="shared" si="20"/>
        <v>0</v>
      </c>
      <c r="AC43" s="33">
        <f t="shared" si="19"/>
        <v>1.1673151750972763E-2</v>
      </c>
    </row>
    <row r="44" spans="1:29" x14ac:dyDescent="0.15">
      <c r="A44" s="8" t="s">
        <v>321</v>
      </c>
      <c r="B44" s="8" t="s">
        <v>322</v>
      </c>
      <c r="C44" s="8" t="s">
        <v>375</v>
      </c>
      <c r="D44" s="8" t="s">
        <v>376</v>
      </c>
      <c r="E44" s="8" t="s">
        <v>25</v>
      </c>
      <c r="F44" s="8" t="s">
        <v>6</v>
      </c>
      <c r="G44" s="9">
        <v>48001.5</v>
      </c>
      <c r="H44" s="43">
        <v>-7461</v>
      </c>
      <c r="I44" s="43">
        <v>40540.5</v>
      </c>
      <c r="J44" s="47"/>
      <c r="K44" s="47"/>
      <c r="L44" s="47"/>
      <c r="M44" s="58"/>
      <c r="N44" s="58"/>
      <c r="O44" s="58"/>
      <c r="P44" s="58"/>
      <c r="Q44" s="58"/>
      <c r="R44" s="58"/>
      <c r="S44" s="40"/>
      <c r="T44" s="40"/>
      <c r="U44" s="40"/>
      <c r="V44" s="40"/>
      <c r="W44" s="25">
        <v>15</v>
      </c>
      <c r="X44" s="25">
        <v>19</v>
      </c>
      <c r="Y44" s="16">
        <v>18</v>
      </c>
      <c r="Z44" s="16">
        <v>15</v>
      </c>
      <c r="AA44" s="16">
        <v>10</v>
      </c>
      <c r="AB44" s="30">
        <f t="shared" si="20"/>
        <v>-0.33333333333333331</v>
      </c>
      <c r="AC44" s="33">
        <f t="shared" si="19"/>
        <v>3.8910505836575876E-2</v>
      </c>
    </row>
    <row r="45" spans="1:29" x14ac:dyDescent="0.15">
      <c r="A45" s="8" t="s">
        <v>321</v>
      </c>
      <c r="B45" s="8" t="s">
        <v>322</v>
      </c>
      <c r="C45" s="8" t="s">
        <v>377</v>
      </c>
      <c r="D45" s="8" t="s">
        <v>378</v>
      </c>
      <c r="E45" s="8" t="s">
        <v>25</v>
      </c>
      <c r="F45" s="8" t="s">
        <v>6</v>
      </c>
      <c r="G45" s="9">
        <v>4870.2</v>
      </c>
      <c r="H45" s="43"/>
      <c r="I45" s="43">
        <v>4870.2</v>
      </c>
      <c r="J45" s="47"/>
      <c r="K45" s="47"/>
      <c r="L45" s="47"/>
      <c r="M45" s="58"/>
      <c r="N45" s="58"/>
      <c r="O45" s="58"/>
      <c r="P45" s="58"/>
      <c r="Q45" s="58"/>
      <c r="R45" s="58"/>
      <c r="S45" s="40"/>
      <c r="T45" s="40"/>
      <c r="U45" s="40"/>
      <c r="V45" s="40"/>
      <c r="W45" s="25">
        <v>8</v>
      </c>
      <c r="X45" s="25">
        <v>5</v>
      </c>
      <c r="Y45" s="16">
        <v>3</v>
      </c>
      <c r="Z45" s="16">
        <v>1</v>
      </c>
      <c r="AA45" s="16">
        <v>1</v>
      </c>
      <c r="AB45" s="30">
        <f t="shared" si="20"/>
        <v>-0.875</v>
      </c>
      <c r="AC45" s="33">
        <f t="shared" si="19"/>
        <v>3.8910505836575876E-3</v>
      </c>
    </row>
    <row r="46" spans="1:29" x14ac:dyDescent="0.15">
      <c r="A46" s="8" t="s">
        <v>321</v>
      </c>
      <c r="B46" s="8" t="s">
        <v>322</v>
      </c>
      <c r="C46" s="8" t="s">
        <v>379</v>
      </c>
      <c r="D46" s="8" t="s">
        <v>380</v>
      </c>
      <c r="E46" s="8" t="s">
        <v>25</v>
      </c>
      <c r="F46" s="8" t="s">
        <v>6</v>
      </c>
      <c r="G46" s="9">
        <v>125035.5</v>
      </c>
      <c r="H46" s="43">
        <v>-12466.8</v>
      </c>
      <c r="I46" s="43">
        <v>112568.7</v>
      </c>
      <c r="J46" s="47"/>
      <c r="K46" s="47"/>
      <c r="L46" s="47"/>
      <c r="M46" s="58"/>
      <c r="N46" s="58"/>
      <c r="O46" s="58"/>
      <c r="P46" s="58"/>
      <c r="Q46" s="58"/>
      <c r="R46" s="58"/>
      <c r="S46" s="40"/>
      <c r="T46" s="40"/>
      <c r="U46" s="40"/>
      <c r="V46" s="40"/>
      <c r="W46" s="25">
        <v>48</v>
      </c>
      <c r="X46" s="25">
        <v>49</v>
      </c>
      <c r="Y46" s="16">
        <v>41</v>
      </c>
      <c r="Z46" s="16">
        <v>30</v>
      </c>
      <c r="AA46" s="16">
        <v>19</v>
      </c>
      <c r="AB46" s="30">
        <f t="shared" si="20"/>
        <v>-0.60416666666666663</v>
      </c>
      <c r="AC46" s="33">
        <f t="shared" si="19"/>
        <v>7.3929961089494164E-2</v>
      </c>
    </row>
    <row r="47" spans="1:29" x14ac:dyDescent="0.15">
      <c r="A47" s="5"/>
      <c r="B47" s="5" t="s">
        <v>0</v>
      </c>
      <c r="C47" s="5" t="s">
        <v>0</v>
      </c>
      <c r="D47" s="5" t="s">
        <v>0</v>
      </c>
      <c r="E47" s="5" t="s">
        <v>26</v>
      </c>
      <c r="F47" s="5" t="s">
        <v>6</v>
      </c>
      <c r="G47" s="6">
        <v>1025518.51</v>
      </c>
      <c r="H47" s="42">
        <v>-398750.57</v>
      </c>
      <c r="I47" s="42">
        <v>626767.93999999994</v>
      </c>
      <c r="J47" s="42">
        <f>1504475.73+48746.45</f>
        <v>1553222.18</v>
      </c>
      <c r="K47" s="42">
        <f>-473866.03465495-12575.7</f>
        <v>-486441.73465495004</v>
      </c>
      <c r="L47" s="42">
        <f>+J47+K47</f>
        <v>1066780.44534505</v>
      </c>
      <c r="M47" s="57">
        <v>-947391.86</v>
      </c>
      <c r="N47" s="57">
        <f>-57999.9-14462.84</f>
        <v>-72462.740000000005</v>
      </c>
      <c r="O47" s="57"/>
      <c r="P47" s="57">
        <v>-20116.099999999999</v>
      </c>
      <c r="Q47" s="57"/>
      <c r="R47" s="57">
        <f>+Q47+M47</f>
        <v>-947391.86</v>
      </c>
      <c r="S47" s="39">
        <f>+I47+R47</f>
        <v>-320623.92000000004</v>
      </c>
      <c r="T47" s="39">
        <f>+L47+R47</f>
        <v>119388.58534504997</v>
      </c>
      <c r="U47" s="39">
        <f>+I47+M47</f>
        <v>-320623.92000000004</v>
      </c>
      <c r="V47" s="39">
        <f>+L47+M47</f>
        <v>119388.58534504997</v>
      </c>
      <c r="W47" s="15">
        <f>SUM(W48:W50)</f>
        <v>271</v>
      </c>
      <c r="X47" s="15">
        <f t="shared" ref="X47:AA47" si="21">SUM(X48:X50)</f>
        <v>236</v>
      </c>
      <c r="Y47" s="15">
        <f t="shared" si="21"/>
        <v>212</v>
      </c>
      <c r="Z47" s="15">
        <f t="shared" si="21"/>
        <v>173</v>
      </c>
      <c r="AA47" s="15">
        <f t="shared" si="21"/>
        <v>157</v>
      </c>
      <c r="AB47" s="31">
        <f>+(AA47-W47)/W47</f>
        <v>-0.42066420664206644</v>
      </c>
    </row>
    <row r="48" spans="1:29" x14ac:dyDescent="0.15">
      <c r="A48" s="8" t="s">
        <v>62</v>
      </c>
      <c r="B48" s="8" t="s">
        <v>63</v>
      </c>
      <c r="C48" s="8" t="s">
        <v>78</v>
      </c>
      <c r="D48" s="8" t="s">
        <v>79</v>
      </c>
      <c r="E48" s="8" t="s">
        <v>26</v>
      </c>
      <c r="F48" s="8" t="s">
        <v>6</v>
      </c>
      <c r="G48" s="9">
        <v>313662.78000000003</v>
      </c>
      <c r="H48" s="43">
        <v>-225283.76</v>
      </c>
      <c r="I48" s="43">
        <v>88379.02</v>
      </c>
      <c r="J48" s="47"/>
      <c r="K48" s="47"/>
      <c r="L48" s="47"/>
      <c r="M48" s="58"/>
      <c r="N48" s="58"/>
      <c r="O48" s="58"/>
      <c r="P48" s="58"/>
      <c r="Q48" s="58"/>
      <c r="R48" s="58"/>
      <c r="S48" s="40"/>
      <c r="T48" s="40"/>
      <c r="U48" s="40"/>
      <c r="V48" s="40"/>
      <c r="W48" s="16">
        <v>67</v>
      </c>
      <c r="X48" s="16">
        <v>67</v>
      </c>
      <c r="Y48" s="16">
        <v>57</v>
      </c>
      <c r="Z48" s="16">
        <v>50</v>
      </c>
      <c r="AA48" s="16">
        <v>51</v>
      </c>
      <c r="AB48" s="30">
        <f t="shared" ref="AB48:AB50" si="22">+(AA48-W48)/W48</f>
        <v>-0.23880597014925373</v>
      </c>
      <c r="AC48" s="33">
        <f>+AA48/AA47</f>
        <v>0.32484076433121017</v>
      </c>
    </row>
    <row r="49" spans="1:29" x14ac:dyDescent="0.15">
      <c r="A49" s="8" t="s">
        <v>62</v>
      </c>
      <c r="B49" s="8" t="s">
        <v>195</v>
      </c>
      <c r="C49" s="8" t="s">
        <v>231</v>
      </c>
      <c r="D49" s="8" t="s">
        <v>232</v>
      </c>
      <c r="E49" s="8" t="s">
        <v>26</v>
      </c>
      <c r="F49" s="8" t="s">
        <v>6</v>
      </c>
      <c r="G49" s="9">
        <v>202429.5</v>
      </c>
      <c r="H49" s="43">
        <v>-44309.06</v>
      </c>
      <c r="I49" s="43">
        <v>158120.44</v>
      </c>
      <c r="J49" s="47"/>
      <c r="K49" s="47"/>
      <c r="L49" s="47"/>
      <c r="M49" s="58"/>
      <c r="N49" s="58"/>
      <c r="O49" s="58"/>
      <c r="P49" s="58"/>
      <c r="Q49" s="58"/>
      <c r="R49" s="58"/>
      <c r="S49" s="40"/>
      <c r="T49" s="40"/>
      <c r="U49" s="40"/>
      <c r="V49" s="40"/>
      <c r="W49" s="25">
        <v>80</v>
      </c>
      <c r="X49" s="25">
        <v>58</v>
      </c>
      <c r="Y49" s="25">
        <v>52</v>
      </c>
      <c r="Z49" s="16">
        <v>40</v>
      </c>
      <c r="AA49" s="16">
        <v>34</v>
      </c>
      <c r="AB49" s="30">
        <f t="shared" si="22"/>
        <v>-0.57499999999999996</v>
      </c>
      <c r="AC49" s="33">
        <f>+AA49/AA47</f>
        <v>0.21656050955414013</v>
      </c>
    </row>
    <row r="50" spans="1:29" x14ac:dyDescent="0.15">
      <c r="A50" s="8" t="s">
        <v>321</v>
      </c>
      <c r="B50" s="8" t="s">
        <v>322</v>
      </c>
      <c r="C50" s="8" t="s">
        <v>357</v>
      </c>
      <c r="D50" s="8" t="s">
        <v>358</v>
      </c>
      <c r="E50" s="8" t="s">
        <v>26</v>
      </c>
      <c r="F50" s="8" t="s">
        <v>6</v>
      </c>
      <c r="G50" s="9">
        <v>509426.23</v>
      </c>
      <c r="H50" s="43">
        <v>-129157.75</v>
      </c>
      <c r="I50" s="43">
        <v>380268.48</v>
      </c>
      <c r="J50" s="47"/>
      <c r="K50" s="47"/>
      <c r="L50" s="47"/>
      <c r="M50" s="58"/>
      <c r="N50" s="58"/>
      <c r="O50" s="58"/>
      <c r="P50" s="58"/>
      <c r="Q50" s="58"/>
      <c r="R50" s="58"/>
      <c r="S50" s="40"/>
      <c r="T50" s="40"/>
      <c r="U50" s="40"/>
      <c r="V50" s="40"/>
      <c r="W50" s="25">
        <v>124</v>
      </c>
      <c r="X50" s="25">
        <v>111</v>
      </c>
      <c r="Y50" s="16">
        <v>103</v>
      </c>
      <c r="Z50" s="16">
        <v>83</v>
      </c>
      <c r="AA50" s="16">
        <v>72</v>
      </c>
      <c r="AB50" s="30">
        <f t="shared" si="22"/>
        <v>-0.41935483870967744</v>
      </c>
      <c r="AC50" s="33">
        <f>+AA50/AA47</f>
        <v>0.45859872611464969</v>
      </c>
    </row>
    <row r="51" spans="1:29" x14ac:dyDescent="0.15">
      <c r="A51" s="5"/>
      <c r="B51" s="5" t="s">
        <v>0</v>
      </c>
      <c r="C51" s="5" t="s">
        <v>0</v>
      </c>
      <c r="D51" s="5" t="s">
        <v>0</v>
      </c>
      <c r="E51" s="5" t="s">
        <v>29</v>
      </c>
      <c r="F51" s="5" t="s">
        <v>6</v>
      </c>
      <c r="G51" s="6">
        <v>1146097.1100000001</v>
      </c>
      <c r="H51" s="42">
        <v>-370843.59749999997</v>
      </c>
      <c r="I51" s="42">
        <v>775253.51249999995</v>
      </c>
      <c r="J51" s="42">
        <f>3200621+2708749.43</f>
        <v>5909370.4299999997</v>
      </c>
      <c r="K51" s="42">
        <f>-905686-566019.3</f>
        <v>-1471705.3</v>
      </c>
      <c r="L51" s="42">
        <f>+J51+K51</f>
        <v>4437665.13</v>
      </c>
      <c r="M51" s="57">
        <f>-1988896.05-N51</f>
        <v>-1967263.6500000001</v>
      </c>
      <c r="N51" s="57">
        <v>-21632.400000000001</v>
      </c>
      <c r="O51" s="57"/>
      <c r="P51" s="57"/>
      <c r="Q51" s="57">
        <v>-1072.52</v>
      </c>
      <c r="R51" s="57">
        <f>+Q51+M51</f>
        <v>-1968336.1700000002</v>
      </c>
      <c r="S51" s="39">
        <f>+I51+R51</f>
        <v>-1193082.6575000002</v>
      </c>
      <c r="T51" s="39">
        <f>+L51+R51</f>
        <v>2469328.96</v>
      </c>
      <c r="U51" s="39">
        <f>+I51+M51</f>
        <v>-1192010.1375000002</v>
      </c>
      <c r="V51" s="39">
        <f>+L51+M51</f>
        <v>2470401.4799999995</v>
      </c>
      <c r="W51" s="15">
        <f>SUM(W52:W55)</f>
        <v>291</v>
      </c>
      <c r="X51" s="15">
        <f t="shared" ref="X51:AA51" si="23">SUM(X52:X55)</f>
        <v>283</v>
      </c>
      <c r="Y51" s="15">
        <f t="shared" si="23"/>
        <v>249</v>
      </c>
      <c r="Z51" s="15">
        <f t="shared" si="23"/>
        <v>217</v>
      </c>
      <c r="AA51" s="15">
        <f t="shared" si="23"/>
        <v>212</v>
      </c>
      <c r="AB51" s="31">
        <f>+(AA51-W51)/W51</f>
        <v>-0.27147766323024053</v>
      </c>
    </row>
    <row r="52" spans="1:29" x14ac:dyDescent="0.15">
      <c r="A52" s="8" t="s">
        <v>62</v>
      </c>
      <c r="B52" s="8" t="s">
        <v>63</v>
      </c>
      <c r="C52" s="8" t="s">
        <v>87</v>
      </c>
      <c r="D52" s="8" t="s">
        <v>88</v>
      </c>
      <c r="E52" s="8" t="s">
        <v>29</v>
      </c>
      <c r="F52" s="8" t="s">
        <v>6</v>
      </c>
      <c r="G52" s="9">
        <v>62311</v>
      </c>
      <c r="H52" s="43">
        <v>-36578.199999999997</v>
      </c>
      <c r="I52" s="43">
        <v>25732.799999999999</v>
      </c>
      <c r="J52" s="47"/>
      <c r="K52" s="47"/>
      <c r="L52" s="47"/>
      <c r="M52" s="58"/>
      <c r="N52" s="58"/>
      <c r="O52" s="58"/>
      <c r="P52" s="58"/>
      <c r="Q52" s="58"/>
      <c r="R52" s="58"/>
      <c r="S52" s="40"/>
      <c r="T52" s="40"/>
      <c r="U52" s="40"/>
      <c r="V52" s="40"/>
      <c r="W52" s="16">
        <v>14</v>
      </c>
      <c r="X52" s="16">
        <v>17</v>
      </c>
      <c r="Y52" s="16">
        <v>16</v>
      </c>
      <c r="Z52" s="16">
        <v>14</v>
      </c>
      <c r="AA52" s="16">
        <v>17</v>
      </c>
      <c r="AB52" s="21">
        <f t="shared" ref="AB52:AB55" si="24">+(AA52-W52)/W52</f>
        <v>0.21428571428571427</v>
      </c>
      <c r="AC52" s="33">
        <f>+AA52/AA51</f>
        <v>8.0188679245283015E-2</v>
      </c>
    </row>
    <row r="53" spans="1:29" x14ac:dyDescent="0.15">
      <c r="A53" s="8" t="s">
        <v>62</v>
      </c>
      <c r="B53" s="8" t="s">
        <v>195</v>
      </c>
      <c r="C53" s="8" t="s">
        <v>223</v>
      </c>
      <c r="D53" s="8" t="s">
        <v>224</v>
      </c>
      <c r="E53" s="8" t="s">
        <v>29</v>
      </c>
      <c r="F53" s="8" t="s">
        <v>6</v>
      </c>
      <c r="G53" s="9">
        <v>163697.70000000001</v>
      </c>
      <c r="H53" s="43">
        <v>-119039.4</v>
      </c>
      <c r="I53" s="43">
        <v>44658.3</v>
      </c>
      <c r="J53" s="47"/>
      <c r="K53" s="47"/>
      <c r="L53" s="47"/>
      <c r="M53" s="58"/>
      <c r="N53" s="58"/>
      <c r="O53" s="58"/>
      <c r="P53" s="58"/>
      <c r="Q53" s="58"/>
      <c r="R53" s="58"/>
      <c r="S53" s="40"/>
      <c r="T53" s="40"/>
      <c r="U53" s="40"/>
      <c r="V53" s="40"/>
      <c r="W53" s="25">
        <v>42</v>
      </c>
      <c r="X53" s="25">
        <v>37</v>
      </c>
      <c r="Y53" s="25">
        <v>29</v>
      </c>
      <c r="Z53" s="16">
        <v>24</v>
      </c>
      <c r="AA53" s="16">
        <v>25</v>
      </c>
      <c r="AB53" s="30">
        <f t="shared" si="24"/>
        <v>-0.40476190476190477</v>
      </c>
      <c r="AC53" s="33">
        <f>+AA53/AA51</f>
        <v>0.11792452830188679</v>
      </c>
    </row>
    <row r="54" spans="1:29" x14ac:dyDescent="0.15">
      <c r="A54" s="8" t="s">
        <v>62</v>
      </c>
      <c r="B54" s="8" t="s">
        <v>195</v>
      </c>
      <c r="C54" s="8" t="s">
        <v>237</v>
      </c>
      <c r="D54" s="8" t="s">
        <v>238</v>
      </c>
      <c r="E54" s="8" t="s">
        <v>29</v>
      </c>
      <c r="F54" s="8" t="s">
        <v>6</v>
      </c>
      <c r="G54" s="9">
        <v>71702.8</v>
      </c>
      <c r="H54" s="43">
        <v>-26255.1</v>
      </c>
      <c r="I54" s="43">
        <v>45447.7</v>
      </c>
      <c r="J54" s="47"/>
      <c r="K54" s="47"/>
      <c r="L54" s="47"/>
      <c r="M54" s="58"/>
      <c r="N54" s="58"/>
      <c r="O54" s="58"/>
      <c r="P54" s="58"/>
      <c r="Q54" s="58"/>
      <c r="R54" s="58"/>
      <c r="S54" s="40"/>
      <c r="T54" s="40"/>
      <c r="U54" s="40"/>
      <c r="V54" s="40"/>
      <c r="W54" s="25">
        <v>17</v>
      </c>
      <c r="X54" s="25">
        <v>17</v>
      </c>
      <c r="Y54" s="25">
        <v>17</v>
      </c>
      <c r="Z54" s="16">
        <v>18</v>
      </c>
      <c r="AA54" s="16">
        <v>19</v>
      </c>
      <c r="AB54" s="21">
        <f t="shared" si="24"/>
        <v>0.11764705882352941</v>
      </c>
      <c r="AC54" s="33">
        <f>+AA54/AA51</f>
        <v>8.9622641509433956E-2</v>
      </c>
    </row>
    <row r="55" spans="1:29" x14ac:dyDescent="0.15">
      <c r="A55" s="8" t="s">
        <v>321</v>
      </c>
      <c r="B55" s="8" t="s">
        <v>322</v>
      </c>
      <c r="C55" s="8" t="s">
        <v>363</v>
      </c>
      <c r="D55" s="8" t="s">
        <v>364</v>
      </c>
      <c r="E55" s="8" t="s">
        <v>29</v>
      </c>
      <c r="F55" s="8" t="s">
        <v>6</v>
      </c>
      <c r="G55" s="9">
        <v>848385.61</v>
      </c>
      <c r="H55" s="43">
        <v>-188970.89749999999</v>
      </c>
      <c r="I55" s="43">
        <v>659414.71250000002</v>
      </c>
      <c r="J55" s="47"/>
      <c r="K55" s="47"/>
      <c r="L55" s="47"/>
      <c r="M55" s="58"/>
      <c r="N55" s="58"/>
      <c r="O55" s="58"/>
      <c r="P55" s="58"/>
      <c r="Q55" s="58"/>
      <c r="R55" s="58"/>
      <c r="S55" s="40"/>
      <c r="T55" s="40"/>
      <c r="U55" s="40"/>
      <c r="V55" s="40"/>
      <c r="W55" s="25">
        <v>218</v>
      </c>
      <c r="X55" s="25">
        <v>212</v>
      </c>
      <c r="Y55" s="16">
        <v>187</v>
      </c>
      <c r="Z55" s="16">
        <v>161</v>
      </c>
      <c r="AA55" s="16">
        <v>151</v>
      </c>
      <c r="AB55" s="30">
        <f t="shared" si="24"/>
        <v>-0.30733944954128439</v>
      </c>
      <c r="AC55" s="33">
        <f>+AA55/AA51</f>
        <v>0.71226415094339623</v>
      </c>
    </row>
    <row r="56" spans="1:29" x14ac:dyDescent="0.15">
      <c r="A56" s="5"/>
      <c r="B56" s="5" t="s">
        <v>0</v>
      </c>
      <c r="C56" s="5" t="s">
        <v>0</v>
      </c>
      <c r="D56" s="5" t="s">
        <v>0</v>
      </c>
      <c r="E56" s="5" t="s">
        <v>31</v>
      </c>
      <c r="F56" s="5" t="s">
        <v>6</v>
      </c>
      <c r="G56" s="6">
        <v>231108.95</v>
      </c>
      <c r="H56" s="42">
        <v>-24867.7</v>
      </c>
      <c r="I56" s="42">
        <v>206241.25</v>
      </c>
      <c r="J56" s="42">
        <v>2531182.91</v>
      </c>
      <c r="K56" s="42">
        <v>-424238.86250774999</v>
      </c>
      <c r="L56" s="42">
        <f>+J56+K56</f>
        <v>2106944.0474922503</v>
      </c>
      <c r="M56" s="57">
        <v>-1217430.8500000001</v>
      </c>
      <c r="N56" s="57">
        <v>-52031.99</v>
      </c>
      <c r="O56" s="57"/>
      <c r="P56" s="57"/>
      <c r="Q56" s="57"/>
      <c r="R56" s="57">
        <f>+Q56+M56</f>
        <v>-1217430.8500000001</v>
      </c>
      <c r="S56" s="39">
        <f>+I56+R56</f>
        <v>-1011189.6000000001</v>
      </c>
      <c r="T56" s="39">
        <f>+L56+R56</f>
        <v>889513.19749225024</v>
      </c>
      <c r="U56" s="39">
        <f>+I56+M56</f>
        <v>-1011189.6000000001</v>
      </c>
      <c r="V56" s="39">
        <f>+L56+M56</f>
        <v>889513.19749225024</v>
      </c>
      <c r="W56" s="15">
        <f>SUM(W57:W58)</f>
        <v>153</v>
      </c>
      <c r="X56" s="15">
        <f t="shared" ref="X56:AA56" si="25">SUM(X57:X58)</f>
        <v>130</v>
      </c>
      <c r="Y56" s="15">
        <f t="shared" si="25"/>
        <v>112</v>
      </c>
      <c r="Z56" s="15">
        <f t="shared" si="25"/>
        <v>90</v>
      </c>
      <c r="AA56" s="15">
        <f t="shared" si="25"/>
        <v>84</v>
      </c>
      <c r="AB56" s="31">
        <f>+(AA56-W56)/W56</f>
        <v>-0.45098039215686275</v>
      </c>
    </row>
    <row r="57" spans="1:29" x14ac:dyDescent="0.15">
      <c r="A57" s="8" t="s">
        <v>62</v>
      </c>
      <c r="B57" s="8" t="s">
        <v>195</v>
      </c>
      <c r="C57" s="8" t="s">
        <v>291</v>
      </c>
      <c r="D57" s="8" t="s">
        <v>292</v>
      </c>
      <c r="E57" s="8" t="s">
        <v>31</v>
      </c>
      <c r="F57" s="8" t="s">
        <v>6</v>
      </c>
      <c r="G57" s="9">
        <v>15126.4</v>
      </c>
      <c r="H57" s="43"/>
      <c r="I57" s="43">
        <v>15126.4</v>
      </c>
      <c r="J57" s="47"/>
      <c r="K57" s="47"/>
      <c r="L57" s="47"/>
      <c r="M57" s="58"/>
      <c r="N57" s="58"/>
      <c r="O57" s="58"/>
      <c r="P57" s="58"/>
      <c r="Q57" s="58"/>
      <c r="R57" s="58"/>
      <c r="S57" s="40"/>
      <c r="T57" s="40"/>
      <c r="U57" s="40"/>
      <c r="V57" s="40"/>
      <c r="W57" s="25">
        <v>24</v>
      </c>
      <c r="X57" s="25">
        <v>21</v>
      </c>
      <c r="Y57" s="25">
        <v>10</v>
      </c>
      <c r="Z57" s="16">
        <v>7</v>
      </c>
      <c r="AA57" s="16">
        <v>6</v>
      </c>
      <c r="AB57" s="30">
        <f t="shared" ref="AB57:AB58" si="26">+(AA57-W57)/W57</f>
        <v>-0.75</v>
      </c>
      <c r="AC57" s="33">
        <f>+AA57/AA56</f>
        <v>7.1428571428571425E-2</v>
      </c>
    </row>
    <row r="58" spans="1:29" x14ac:dyDescent="0.15">
      <c r="A58" s="8" t="s">
        <v>321</v>
      </c>
      <c r="B58" s="8" t="s">
        <v>322</v>
      </c>
      <c r="C58" s="8" t="s">
        <v>389</v>
      </c>
      <c r="D58" s="8" t="s">
        <v>390</v>
      </c>
      <c r="E58" s="8" t="s">
        <v>31</v>
      </c>
      <c r="F58" s="8" t="s">
        <v>6</v>
      </c>
      <c r="G58" s="9">
        <v>215982.55</v>
      </c>
      <c r="H58" s="43">
        <v>-24867.7</v>
      </c>
      <c r="I58" s="43">
        <v>191114.85</v>
      </c>
      <c r="J58" s="47"/>
      <c r="K58" s="47"/>
      <c r="L58" s="47"/>
      <c r="M58" s="58"/>
      <c r="N58" s="58"/>
      <c r="O58" s="58"/>
      <c r="P58" s="58"/>
      <c r="Q58" s="58"/>
      <c r="R58" s="58"/>
      <c r="S58" s="40"/>
      <c r="T58" s="40"/>
      <c r="U58" s="40"/>
      <c r="V58" s="40"/>
      <c r="W58" s="25">
        <f>110+15+1+3</f>
        <v>129</v>
      </c>
      <c r="X58" s="25">
        <f>103+1+5</f>
        <v>109</v>
      </c>
      <c r="Y58" s="16">
        <v>102</v>
      </c>
      <c r="Z58" s="16">
        <v>83</v>
      </c>
      <c r="AA58" s="16">
        <v>78</v>
      </c>
      <c r="AB58" s="30">
        <f t="shared" si="26"/>
        <v>-0.39534883720930231</v>
      </c>
      <c r="AC58" s="33">
        <f>+AA58/AA56</f>
        <v>0.9285714285714286</v>
      </c>
    </row>
    <row r="59" spans="1:29" x14ac:dyDescent="0.15">
      <c r="A59" s="5"/>
      <c r="B59" s="5" t="s">
        <v>0</v>
      </c>
      <c r="C59" s="5" t="s">
        <v>0</v>
      </c>
      <c r="D59" s="5" t="s">
        <v>0</v>
      </c>
      <c r="E59" s="5" t="s">
        <v>34</v>
      </c>
      <c r="F59" s="5" t="s">
        <v>6</v>
      </c>
      <c r="G59" s="6">
        <v>821544.44</v>
      </c>
      <c r="H59" s="42">
        <v>-172002.34</v>
      </c>
      <c r="I59" s="42">
        <v>649542.1</v>
      </c>
      <c r="J59" s="42">
        <f>2213646.335+165403.47</f>
        <v>2379049.8050000002</v>
      </c>
      <c r="K59" s="42">
        <f>-344552.12600592-437-41795.73</f>
        <v>-386784.85600591998</v>
      </c>
      <c r="L59" s="42">
        <f>+J59+K59</f>
        <v>1992264.9489940801</v>
      </c>
      <c r="M59" s="57">
        <v>-1008266.39</v>
      </c>
      <c r="N59" s="57"/>
      <c r="O59" s="57">
        <v>-123302.44</v>
      </c>
      <c r="P59" s="57">
        <v>-400</v>
      </c>
      <c r="Q59" s="57">
        <f>-10000-66748.2</f>
        <v>-76748.2</v>
      </c>
      <c r="R59" s="57">
        <f>+Q59+M59</f>
        <v>-1085014.5900000001</v>
      </c>
      <c r="S59" s="39">
        <f>+I59+R59</f>
        <v>-435472.49000000011</v>
      </c>
      <c r="T59" s="39">
        <f>+L59+R59</f>
        <v>907250.35899407999</v>
      </c>
      <c r="U59" s="39">
        <f>+I59+M59</f>
        <v>-358724.29000000004</v>
      </c>
      <c r="V59" s="39">
        <f>+L59+M59</f>
        <v>983998.55899408006</v>
      </c>
      <c r="W59" s="15">
        <f>SUM(W60:W63)</f>
        <v>180</v>
      </c>
      <c r="X59" s="15">
        <f t="shared" ref="X59:AA59" si="27">SUM(X60:X63)</f>
        <v>187</v>
      </c>
      <c r="Y59" s="15">
        <f t="shared" si="27"/>
        <v>172</v>
      </c>
      <c r="Z59" s="15">
        <f t="shared" si="27"/>
        <v>179</v>
      </c>
      <c r="AA59" s="15">
        <f t="shared" si="27"/>
        <v>151</v>
      </c>
      <c r="AB59" s="31">
        <f>+(AA59-W59)/W59</f>
        <v>-0.16111111111111112</v>
      </c>
    </row>
    <row r="60" spans="1:29" x14ac:dyDescent="0.15">
      <c r="A60" s="8" t="s">
        <v>62</v>
      </c>
      <c r="B60" s="8" t="s">
        <v>63</v>
      </c>
      <c r="C60" s="8" t="s">
        <v>91</v>
      </c>
      <c r="D60" s="8" t="s">
        <v>92</v>
      </c>
      <c r="E60" s="8" t="s">
        <v>34</v>
      </c>
      <c r="F60" s="8" t="s">
        <v>6</v>
      </c>
      <c r="G60" s="9">
        <v>38678.400000000001</v>
      </c>
      <c r="H60" s="43">
        <v>-23978.400000000001</v>
      </c>
      <c r="I60" s="43">
        <v>14700</v>
      </c>
      <c r="J60" s="47"/>
      <c r="K60" s="47"/>
      <c r="L60" s="47"/>
      <c r="M60" s="58"/>
      <c r="N60" s="58"/>
      <c r="O60" s="58"/>
      <c r="P60" s="58"/>
      <c r="Q60" s="58"/>
      <c r="R60" s="58"/>
      <c r="S60" s="40"/>
      <c r="T60" s="40"/>
      <c r="U60" s="40"/>
      <c r="V60" s="40"/>
      <c r="W60" s="16">
        <v>16</v>
      </c>
      <c r="X60" s="16">
        <v>13</v>
      </c>
      <c r="Y60" s="16">
        <v>12</v>
      </c>
      <c r="Z60" s="16">
        <v>12</v>
      </c>
      <c r="AA60" s="16">
        <v>15</v>
      </c>
      <c r="AB60" s="30">
        <f t="shared" ref="AB60:AB65" si="28">+(AA60-W60)/W60</f>
        <v>-6.25E-2</v>
      </c>
      <c r="AC60" s="33">
        <f>+AA60/AA59</f>
        <v>9.9337748344370855E-2</v>
      </c>
    </row>
    <row r="61" spans="1:29" x14ac:dyDescent="0.15">
      <c r="A61" s="8" t="s">
        <v>62</v>
      </c>
      <c r="B61" s="8" t="s">
        <v>63</v>
      </c>
      <c r="C61" s="8" t="s">
        <v>111</v>
      </c>
      <c r="D61" s="8" t="s">
        <v>112</v>
      </c>
      <c r="E61" s="8" t="s">
        <v>34</v>
      </c>
      <c r="F61" s="8" t="s">
        <v>6</v>
      </c>
      <c r="G61" s="9">
        <v>5566.4</v>
      </c>
      <c r="H61" s="43"/>
      <c r="I61" s="43">
        <v>5566.4</v>
      </c>
      <c r="J61" s="47"/>
      <c r="K61" s="47"/>
      <c r="L61" s="47"/>
      <c r="M61" s="58"/>
      <c r="N61" s="58"/>
      <c r="O61" s="58"/>
      <c r="P61" s="58"/>
      <c r="Q61" s="58"/>
      <c r="R61" s="58"/>
      <c r="S61" s="40"/>
      <c r="T61" s="40"/>
      <c r="U61" s="40"/>
      <c r="V61" s="40"/>
      <c r="W61" s="16">
        <v>11</v>
      </c>
      <c r="X61" s="16">
        <v>8</v>
      </c>
      <c r="Y61" s="16">
        <v>6</v>
      </c>
      <c r="Z61" s="16">
        <v>5</v>
      </c>
      <c r="AA61" s="16">
        <v>2</v>
      </c>
      <c r="AB61" s="30">
        <f t="shared" si="28"/>
        <v>-0.81818181818181823</v>
      </c>
      <c r="AC61" s="33">
        <f>+AA61/AA59</f>
        <v>1.3245033112582781E-2</v>
      </c>
    </row>
    <row r="62" spans="1:29" x14ac:dyDescent="0.15">
      <c r="A62" s="8" t="s">
        <v>62</v>
      </c>
      <c r="B62" s="8" t="s">
        <v>195</v>
      </c>
      <c r="C62" s="8" t="s">
        <v>248</v>
      </c>
      <c r="D62" s="8" t="s">
        <v>249</v>
      </c>
      <c r="E62" s="8" t="s">
        <v>34</v>
      </c>
      <c r="F62" s="8" t="s">
        <v>6</v>
      </c>
      <c r="G62" s="9">
        <v>138286.03</v>
      </c>
      <c r="H62" s="43">
        <v>-38949.599999999999</v>
      </c>
      <c r="I62" s="43">
        <v>99336.43</v>
      </c>
      <c r="J62" s="47"/>
      <c r="K62" s="47"/>
      <c r="L62" s="47"/>
      <c r="M62" s="58"/>
      <c r="N62" s="58"/>
      <c r="O62" s="58"/>
      <c r="P62" s="58"/>
      <c r="Q62" s="58"/>
      <c r="R62" s="58"/>
      <c r="S62" s="40"/>
      <c r="T62" s="40"/>
      <c r="U62" s="40"/>
      <c r="V62" s="40"/>
      <c r="W62" s="25">
        <v>34</v>
      </c>
      <c r="X62" s="25">
        <v>34</v>
      </c>
      <c r="Y62" s="25">
        <v>29</v>
      </c>
      <c r="Z62" s="16">
        <v>32</v>
      </c>
      <c r="AA62" s="16">
        <v>28</v>
      </c>
      <c r="AB62" s="30">
        <f t="shared" si="28"/>
        <v>-0.17647058823529413</v>
      </c>
      <c r="AC62" s="33">
        <f>+AA62/AA59</f>
        <v>0.18543046357615894</v>
      </c>
    </row>
    <row r="63" spans="1:29" x14ac:dyDescent="0.15">
      <c r="A63" s="8" t="s">
        <v>321</v>
      </c>
      <c r="B63" s="8" t="s">
        <v>322</v>
      </c>
      <c r="C63" s="8" t="s">
        <v>383</v>
      </c>
      <c r="D63" s="8" t="s">
        <v>384</v>
      </c>
      <c r="E63" s="8" t="s">
        <v>34</v>
      </c>
      <c r="F63" s="8" t="s">
        <v>6</v>
      </c>
      <c r="G63" s="9">
        <v>639013.61</v>
      </c>
      <c r="H63" s="43">
        <v>-109074.34</v>
      </c>
      <c r="I63" s="43">
        <v>529939.27</v>
      </c>
      <c r="J63" s="47"/>
      <c r="K63" s="47"/>
      <c r="L63" s="47"/>
      <c r="M63" s="58"/>
      <c r="N63" s="58"/>
      <c r="O63" s="58"/>
      <c r="P63" s="58"/>
      <c r="Q63" s="58"/>
      <c r="R63" s="58"/>
      <c r="S63" s="40"/>
      <c r="T63" s="40"/>
      <c r="U63" s="40"/>
      <c r="V63" s="40"/>
      <c r="W63" s="25">
        <v>119</v>
      </c>
      <c r="X63" s="25">
        <v>132</v>
      </c>
      <c r="Y63" s="16">
        <v>125</v>
      </c>
      <c r="Z63" s="16">
        <v>130</v>
      </c>
      <c r="AA63" s="16">
        <v>106</v>
      </c>
      <c r="AB63" s="30">
        <f t="shared" si="28"/>
        <v>-0.1092436974789916</v>
      </c>
      <c r="AC63" s="33">
        <f>+AA63/AA59</f>
        <v>0.70198675496688745</v>
      </c>
    </row>
    <row r="64" spans="1:29" x14ac:dyDescent="0.15">
      <c r="A64" s="5"/>
      <c r="B64" s="5" t="s">
        <v>0</v>
      </c>
      <c r="C64" s="5" t="s">
        <v>0</v>
      </c>
      <c r="D64" s="5" t="s">
        <v>0</v>
      </c>
      <c r="E64" s="5" t="s">
        <v>35</v>
      </c>
      <c r="F64" s="5" t="s">
        <v>6</v>
      </c>
      <c r="G64" s="6">
        <f>SUM(G66:G69)</f>
        <v>1547967.45</v>
      </c>
      <c r="H64" s="42">
        <f>SUM(H66:H69)</f>
        <v>-549119.11499999999</v>
      </c>
      <c r="I64" s="42">
        <f>SUM(I66:I69)</f>
        <v>998848.33500000008</v>
      </c>
      <c r="J64" s="42">
        <f>4167900.08-3821643.08</f>
        <v>346257</v>
      </c>
      <c r="K64" s="42">
        <f>-818261.807613941-947+806333.16</f>
        <v>-12875.647613940993</v>
      </c>
      <c r="L64" s="42">
        <f>+J64+K64</f>
        <v>333381.35238605901</v>
      </c>
      <c r="M64" s="57"/>
      <c r="N64" s="57"/>
      <c r="O64" s="57"/>
      <c r="P64" s="57"/>
      <c r="Q64" s="57"/>
      <c r="R64" s="57"/>
      <c r="S64" s="39"/>
      <c r="T64" s="39"/>
      <c r="U64" s="39"/>
      <c r="V64" s="39"/>
      <c r="W64" s="15">
        <f>SUM(W65:W69)</f>
        <v>792</v>
      </c>
      <c r="X64" s="15">
        <f>SUM(X65:X69)</f>
        <v>679</v>
      </c>
      <c r="Y64" s="15">
        <f>SUM(Y65:Y69)</f>
        <v>635</v>
      </c>
      <c r="Z64" s="15">
        <f>SUM(Z65:Z69)</f>
        <v>613</v>
      </c>
      <c r="AA64" s="15">
        <f>SUM(AA65:AA69)</f>
        <v>596</v>
      </c>
      <c r="AB64" s="31">
        <f>+(AA64-W64)/W64</f>
        <v>-0.24747474747474749</v>
      </c>
    </row>
    <row r="65" spans="1:29" x14ac:dyDescent="0.15">
      <c r="A65" s="8" t="s">
        <v>62</v>
      </c>
      <c r="B65" s="8" t="s">
        <v>148</v>
      </c>
      <c r="C65" s="8" t="s">
        <v>482</v>
      </c>
      <c r="D65" s="8" t="s">
        <v>483</v>
      </c>
      <c r="E65" s="8" t="s">
        <v>35</v>
      </c>
      <c r="F65" s="8" t="s">
        <v>6</v>
      </c>
      <c r="G65" s="9"/>
      <c r="H65" s="43"/>
      <c r="I65" s="43"/>
      <c r="J65" s="47"/>
      <c r="K65" s="47"/>
      <c r="L65" s="47"/>
      <c r="M65" s="58"/>
      <c r="N65" s="58"/>
      <c r="O65" s="58"/>
      <c r="P65" s="58"/>
      <c r="Q65" s="58"/>
      <c r="R65" s="58"/>
      <c r="S65" s="40"/>
      <c r="T65" s="40"/>
      <c r="U65" s="40"/>
      <c r="V65" s="40"/>
      <c r="W65" s="16">
        <v>1</v>
      </c>
      <c r="X65" s="16">
        <v>1</v>
      </c>
      <c r="Y65" s="16">
        <v>1</v>
      </c>
      <c r="Z65" s="16">
        <v>2</v>
      </c>
      <c r="AA65" s="16">
        <v>1</v>
      </c>
      <c r="AB65" s="30">
        <f t="shared" si="28"/>
        <v>0</v>
      </c>
      <c r="AC65" s="33">
        <f>+AA65/AA64</f>
        <v>1.6778523489932886E-3</v>
      </c>
    </row>
    <row r="66" spans="1:29" x14ac:dyDescent="0.15">
      <c r="A66" s="8" t="s">
        <v>62</v>
      </c>
      <c r="B66" s="8" t="s">
        <v>148</v>
      </c>
      <c r="C66" s="8" t="s">
        <v>168</v>
      </c>
      <c r="D66" s="8" t="s">
        <v>169</v>
      </c>
      <c r="E66" s="8" t="s">
        <v>35</v>
      </c>
      <c r="F66" s="8" t="s">
        <v>6</v>
      </c>
      <c r="G66" s="9">
        <v>1192.8</v>
      </c>
      <c r="H66" s="43"/>
      <c r="I66" s="43">
        <v>1192.8</v>
      </c>
      <c r="J66" s="47"/>
      <c r="K66" s="47"/>
      <c r="L66" s="47"/>
      <c r="M66" s="58"/>
      <c r="N66" s="58"/>
      <c r="O66" s="58"/>
      <c r="P66" s="58"/>
      <c r="Q66" s="58"/>
      <c r="R66" s="58"/>
      <c r="S66" s="40"/>
      <c r="T66" s="40"/>
      <c r="U66" s="40"/>
      <c r="V66" s="40"/>
      <c r="W66" s="16">
        <v>8</v>
      </c>
      <c r="X66" s="16">
        <v>6</v>
      </c>
      <c r="Y66" s="16">
        <v>6</v>
      </c>
      <c r="Z66" s="16">
        <v>5</v>
      </c>
      <c r="AA66" s="16">
        <v>2</v>
      </c>
      <c r="AB66" s="30">
        <f t="shared" ref="AB66:AB69" si="29">+(AA66-W66)/W66</f>
        <v>-0.75</v>
      </c>
      <c r="AC66" s="33">
        <f>+AA66/AA64</f>
        <v>3.3557046979865771E-3</v>
      </c>
    </row>
    <row r="67" spans="1:29" x14ac:dyDescent="0.15">
      <c r="A67" s="8" t="s">
        <v>62</v>
      </c>
      <c r="B67" s="8" t="s">
        <v>195</v>
      </c>
      <c r="C67" s="8" t="s">
        <v>252</v>
      </c>
      <c r="D67" s="8" t="s">
        <v>253</v>
      </c>
      <c r="E67" s="8" t="s">
        <v>35</v>
      </c>
      <c r="F67" s="8" t="s">
        <v>6</v>
      </c>
      <c r="G67" s="9">
        <v>28495.4</v>
      </c>
      <c r="H67" s="43">
        <v>-3773.4</v>
      </c>
      <c r="I67" s="43">
        <v>24722</v>
      </c>
      <c r="J67" s="47"/>
      <c r="K67" s="47"/>
      <c r="L67" s="47"/>
      <c r="M67" s="58"/>
      <c r="N67" s="58"/>
      <c r="O67" s="58"/>
      <c r="P67" s="58"/>
      <c r="Q67" s="58"/>
      <c r="R67" s="58"/>
      <c r="S67" s="40"/>
      <c r="T67" s="40"/>
      <c r="U67" s="40"/>
      <c r="V67" s="40"/>
      <c r="W67" s="25">
        <v>12</v>
      </c>
      <c r="X67" s="25">
        <v>17</v>
      </c>
      <c r="Y67" s="25">
        <v>16</v>
      </c>
      <c r="Z67" s="16">
        <v>12</v>
      </c>
      <c r="AA67" s="16">
        <v>8</v>
      </c>
      <c r="AB67" s="30">
        <f t="shared" si="29"/>
        <v>-0.33333333333333331</v>
      </c>
      <c r="AC67" s="33">
        <f>+AA67/AA64</f>
        <v>1.3422818791946308E-2</v>
      </c>
    </row>
    <row r="68" spans="1:29" x14ac:dyDescent="0.15">
      <c r="A68" s="8" t="s">
        <v>321</v>
      </c>
      <c r="B68" s="8" t="s">
        <v>322</v>
      </c>
      <c r="C68" s="8" t="s">
        <v>391</v>
      </c>
      <c r="D68" s="8" t="s">
        <v>392</v>
      </c>
      <c r="E68" s="8" t="s">
        <v>35</v>
      </c>
      <c r="F68" s="8" t="s">
        <v>6</v>
      </c>
      <c r="G68" s="9">
        <v>1513857.25</v>
      </c>
      <c r="H68" s="43">
        <v>-545345.71499999997</v>
      </c>
      <c r="I68" s="43">
        <v>968511.53500000003</v>
      </c>
      <c r="J68" s="47"/>
      <c r="K68" s="47"/>
      <c r="L68" s="47"/>
      <c r="M68" s="58"/>
      <c r="N68" s="58"/>
      <c r="O68" s="58"/>
      <c r="P68" s="58"/>
      <c r="Q68" s="58"/>
      <c r="R68" s="58"/>
      <c r="S68" s="40"/>
      <c r="T68" s="40"/>
      <c r="U68" s="40"/>
      <c r="V68" s="40"/>
      <c r="W68" s="25">
        <v>760</v>
      </c>
      <c r="X68" s="25">
        <v>648</v>
      </c>
      <c r="Y68" s="16">
        <v>607</v>
      </c>
      <c r="Z68" s="16">
        <v>593</v>
      </c>
      <c r="AA68" s="16">
        <v>581</v>
      </c>
      <c r="AB68" s="30">
        <f t="shared" si="29"/>
        <v>-0.23552631578947369</v>
      </c>
      <c r="AC68" s="33">
        <f>+AA68/AA64</f>
        <v>0.97483221476510062</v>
      </c>
    </row>
    <row r="69" spans="1:29" x14ac:dyDescent="0.15">
      <c r="A69" s="8" t="s">
        <v>321</v>
      </c>
      <c r="B69" s="8" t="s">
        <v>322</v>
      </c>
      <c r="C69" s="8" t="s">
        <v>434</v>
      </c>
      <c r="D69" s="8" t="s">
        <v>435</v>
      </c>
      <c r="E69" s="8" t="s">
        <v>35</v>
      </c>
      <c r="F69" s="8" t="s">
        <v>6</v>
      </c>
      <c r="G69" s="9">
        <v>4422</v>
      </c>
      <c r="H69" s="43"/>
      <c r="I69" s="43">
        <v>4422</v>
      </c>
      <c r="J69" s="47"/>
      <c r="K69" s="47"/>
      <c r="L69" s="47"/>
      <c r="M69" s="58"/>
      <c r="N69" s="58"/>
      <c r="O69" s="58"/>
      <c r="P69" s="58"/>
      <c r="Q69" s="58"/>
      <c r="R69" s="58"/>
      <c r="S69" s="40"/>
      <c r="T69" s="40"/>
      <c r="U69" s="40"/>
      <c r="V69" s="40"/>
      <c r="W69" s="25">
        <v>11</v>
      </c>
      <c r="X69" s="25">
        <v>7</v>
      </c>
      <c r="Y69" s="16">
        <v>5</v>
      </c>
      <c r="Z69" s="16">
        <v>1</v>
      </c>
      <c r="AA69" s="16">
        <v>4</v>
      </c>
      <c r="AB69" s="30">
        <f t="shared" si="29"/>
        <v>-0.63636363636363635</v>
      </c>
      <c r="AC69" s="33">
        <f>+AA69/AA64</f>
        <v>6.7114093959731542E-3</v>
      </c>
    </row>
    <row r="70" spans="1:29" x14ac:dyDescent="0.15">
      <c r="A70" s="5"/>
      <c r="B70" s="5" t="s">
        <v>0</v>
      </c>
      <c r="C70" s="5" t="s">
        <v>0</v>
      </c>
      <c r="D70" s="5" t="s">
        <v>0</v>
      </c>
      <c r="E70" s="5" t="s">
        <v>38</v>
      </c>
      <c r="F70" s="5" t="s">
        <v>6</v>
      </c>
      <c r="G70" s="6">
        <v>569231.94999999995</v>
      </c>
      <c r="H70" s="42">
        <v>-198393.09</v>
      </c>
      <c r="I70" s="42">
        <v>370838.86</v>
      </c>
      <c r="J70" s="42">
        <v>3862457.33</v>
      </c>
      <c r="K70" s="42">
        <f>-825559.350799994-749</f>
        <v>-826308.35079999396</v>
      </c>
      <c r="L70" s="42">
        <f>+J70+K70</f>
        <v>3036148.979200006</v>
      </c>
      <c r="M70" s="57">
        <v>-1067566.54</v>
      </c>
      <c r="N70" s="57"/>
      <c r="O70" s="57"/>
      <c r="P70" s="57"/>
      <c r="Q70" s="57"/>
      <c r="R70" s="57">
        <f>+Q70+M70</f>
        <v>-1067566.54</v>
      </c>
      <c r="S70" s="39">
        <f>+I70+R70</f>
        <v>-696727.68</v>
      </c>
      <c r="T70" s="39">
        <f>+L70+R70</f>
        <v>1968582.439200006</v>
      </c>
      <c r="U70" s="39">
        <f>+I70+M70</f>
        <v>-696727.68</v>
      </c>
      <c r="V70" s="39">
        <f>+L70+M70</f>
        <v>1968582.439200006</v>
      </c>
      <c r="W70" s="15">
        <f>SUM(W71:W75)</f>
        <v>126</v>
      </c>
      <c r="X70" s="15">
        <f t="shared" ref="X70:AA70" si="30">SUM(X71:X75)</f>
        <v>137</v>
      </c>
      <c r="Y70" s="15">
        <f t="shared" si="30"/>
        <v>130</v>
      </c>
      <c r="Z70" s="15">
        <f t="shared" si="30"/>
        <v>112</v>
      </c>
      <c r="AA70" s="15">
        <f t="shared" si="30"/>
        <v>112</v>
      </c>
      <c r="AB70" s="31">
        <f>+(AA70-W70)/W70</f>
        <v>-0.1111111111111111</v>
      </c>
    </row>
    <row r="71" spans="1:29" x14ac:dyDescent="0.15">
      <c r="A71" s="8" t="s">
        <v>62</v>
      </c>
      <c r="B71" s="8" t="s">
        <v>63</v>
      </c>
      <c r="C71" s="8" t="s">
        <v>93</v>
      </c>
      <c r="D71" s="8" t="s">
        <v>94</v>
      </c>
      <c r="E71" s="8" t="s">
        <v>38</v>
      </c>
      <c r="F71" s="8" t="s">
        <v>6</v>
      </c>
      <c r="G71" s="9">
        <v>137951.19</v>
      </c>
      <c r="H71" s="43">
        <v>-106147.59</v>
      </c>
      <c r="I71" s="43">
        <v>31803.599999999999</v>
      </c>
      <c r="J71" s="47"/>
      <c r="K71" s="47"/>
      <c r="L71" s="47"/>
      <c r="M71" s="58"/>
      <c r="N71" s="58"/>
      <c r="O71" s="58"/>
      <c r="P71" s="58"/>
      <c r="Q71" s="58"/>
      <c r="R71" s="58"/>
      <c r="S71" s="40"/>
      <c r="T71" s="40"/>
      <c r="U71" s="40"/>
      <c r="V71" s="40"/>
      <c r="W71" s="16">
        <v>16</v>
      </c>
      <c r="X71" s="16">
        <v>21</v>
      </c>
      <c r="Y71" s="16">
        <v>24</v>
      </c>
      <c r="Z71" s="16">
        <v>25</v>
      </c>
      <c r="AA71" s="16">
        <v>24</v>
      </c>
      <c r="AB71" s="21">
        <f t="shared" ref="AB71:AB75" si="31">+(AA71-W71)/W71</f>
        <v>0.5</v>
      </c>
      <c r="AC71" s="33">
        <f>+AA71/AA70</f>
        <v>0.21428571428571427</v>
      </c>
    </row>
    <row r="72" spans="1:29" x14ac:dyDescent="0.15">
      <c r="A72" s="8" t="s">
        <v>62</v>
      </c>
      <c r="B72" s="8" t="s">
        <v>195</v>
      </c>
      <c r="C72" s="8" t="s">
        <v>258</v>
      </c>
      <c r="D72" s="8" t="s">
        <v>259</v>
      </c>
      <c r="E72" s="8" t="s">
        <v>38</v>
      </c>
      <c r="F72" s="8" t="s">
        <v>6</v>
      </c>
      <c r="G72" s="9">
        <v>41779.599999999999</v>
      </c>
      <c r="H72" s="43">
        <v>-8544.6</v>
      </c>
      <c r="I72" s="43">
        <v>33235</v>
      </c>
      <c r="J72" s="47"/>
      <c r="K72" s="47"/>
      <c r="L72" s="47"/>
      <c r="M72" s="58"/>
      <c r="N72" s="58"/>
      <c r="O72" s="58"/>
      <c r="P72" s="58"/>
      <c r="Q72" s="58"/>
      <c r="R72" s="58"/>
      <c r="S72" s="40"/>
      <c r="T72" s="40"/>
      <c r="U72" s="40"/>
      <c r="V72" s="40"/>
      <c r="W72" s="25">
        <v>11</v>
      </c>
      <c r="X72" s="25">
        <v>18</v>
      </c>
      <c r="Y72" s="25">
        <v>16</v>
      </c>
      <c r="Z72" s="16">
        <v>15</v>
      </c>
      <c r="AA72" s="16">
        <v>11</v>
      </c>
      <c r="AB72" s="21">
        <f t="shared" si="31"/>
        <v>0</v>
      </c>
      <c r="AC72" s="33">
        <f>+AA72/AA70</f>
        <v>9.8214285714285712E-2</v>
      </c>
    </row>
    <row r="73" spans="1:29" x14ac:dyDescent="0.15">
      <c r="A73" s="8" t="s">
        <v>62</v>
      </c>
      <c r="B73" s="8" t="s">
        <v>195</v>
      </c>
      <c r="C73" s="8" t="s">
        <v>299</v>
      </c>
      <c r="D73" s="8" t="s">
        <v>300</v>
      </c>
      <c r="E73" s="8" t="s">
        <v>38</v>
      </c>
      <c r="F73" s="8" t="s">
        <v>6</v>
      </c>
      <c r="G73" s="9">
        <v>24136.9</v>
      </c>
      <c r="H73" s="43">
        <v>-8045.7</v>
      </c>
      <c r="I73" s="43">
        <v>16091.2</v>
      </c>
      <c r="J73" s="47"/>
      <c r="K73" s="47"/>
      <c r="L73" s="47"/>
      <c r="M73" s="58"/>
      <c r="N73" s="58"/>
      <c r="O73" s="58"/>
      <c r="P73" s="58"/>
      <c r="Q73" s="58"/>
      <c r="R73" s="58"/>
      <c r="S73" s="40"/>
      <c r="T73" s="40"/>
      <c r="U73" s="40"/>
      <c r="V73" s="40"/>
      <c r="W73" s="25">
        <v>16</v>
      </c>
      <c r="X73" s="25">
        <v>15</v>
      </c>
      <c r="Y73" s="25">
        <v>15</v>
      </c>
      <c r="Z73" s="16">
        <v>11</v>
      </c>
      <c r="AA73" s="16">
        <v>6</v>
      </c>
      <c r="AB73" s="30">
        <f t="shared" si="31"/>
        <v>-0.625</v>
      </c>
      <c r="AC73" s="33">
        <f>+AA73/AA70</f>
        <v>5.3571428571428568E-2</v>
      </c>
    </row>
    <row r="74" spans="1:29" x14ac:dyDescent="0.15">
      <c r="A74" s="8" t="s">
        <v>321</v>
      </c>
      <c r="B74" s="8" t="s">
        <v>322</v>
      </c>
      <c r="C74" s="8" t="s">
        <v>393</v>
      </c>
      <c r="D74" s="8" t="s">
        <v>394</v>
      </c>
      <c r="E74" s="8" t="s">
        <v>38</v>
      </c>
      <c r="F74" s="8" t="s">
        <v>6</v>
      </c>
      <c r="G74" s="9">
        <v>60556.75</v>
      </c>
      <c r="H74" s="43">
        <v>-3150</v>
      </c>
      <c r="I74" s="43">
        <v>57406.75</v>
      </c>
      <c r="J74" s="47"/>
      <c r="K74" s="47"/>
      <c r="L74" s="47"/>
      <c r="M74" s="58"/>
      <c r="N74" s="58"/>
      <c r="O74" s="58"/>
      <c r="P74" s="58"/>
      <c r="Q74" s="58"/>
      <c r="R74" s="58"/>
      <c r="S74" s="40"/>
      <c r="T74" s="40"/>
      <c r="U74" s="40"/>
      <c r="V74" s="40"/>
      <c r="W74" s="25">
        <v>20</v>
      </c>
      <c r="X74" s="25">
        <v>17</v>
      </c>
      <c r="Y74" s="16">
        <v>13</v>
      </c>
      <c r="Z74" s="16">
        <v>16</v>
      </c>
      <c r="AA74" s="16">
        <v>11</v>
      </c>
      <c r="AB74" s="30">
        <f t="shared" si="31"/>
        <v>-0.45</v>
      </c>
      <c r="AC74" s="33">
        <f>+AA74/AA70</f>
        <v>9.8214285714285712E-2</v>
      </c>
    </row>
    <row r="75" spans="1:29" x14ac:dyDescent="0.15">
      <c r="A75" s="8" t="s">
        <v>321</v>
      </c>
      <c r="B75" s="8" t="s">
        <v>322</v>
      </c>
      <c r="C75" s="8" t="s">
        <v>395</v>
      </c>
      <c r="D75" s="8" t="s">
        <v>396</v>
      </c>
      <c r="E75" s="8" t="s">
        <v>38</v>
      </c>
      <c r="F75" s="8" t="s">
        <v>6</v>
      </c>
      <c r="G75" s="9">
        <v>304807.51</v>
      </c>
      <c r="H75" s="43">
        <v>-72505.2</v>
      </c>
      <c r="I75" s="43">
        <v>232302.31</v>
      </c>
      <c r="J75" s="47"/>
      <c r="K75" s="47"/>
      <c r="L75" s="47"/>
      <c r="M75" s="58"/>
      <c r="N75" s="58"/>
      <c r="O75" s="58"/>
      <c r="P75" s="58"/>
      <c r="Q75" s="58"/>
      <c r="R75" s="58"/>
      <c r="S75" s="40"/>
      <c r="T75" s="40"/>
      <c r="U75" s="40"/>
      <c r="V75" s="40"/>
      <c r="W75" s="25">
        <v>63</v>
      </c>
      <c r="X75" s="25">
        <v>66</v>
      </c>
      <c r="Y75" s="16">
        <v>62</v>
      </c>
      <c r="Z75" s="16">
        <v>45</v>
      </c>
      <c r="AA75" s="16">
        <v>60</v>
      </c>
      <c r="AB75" s="30">
        <f t="shared" si="31"/>
        <v>-4.7619047619047616E-2</v>
      </c>
      <c r="AC75" s="33">
        <f>+AA75/AA70</f>
        <v>0.5357142857142857</v>
      </c>
    </row>
    <row r="76" spans="1:29" x14ac:dyDescent="0.15">
      <c r="A76" s="5"/>
      <c r="B76" s="5" t="s">
        <v>0</v>
      </c>
      <c r="C76" s="5" t="s">
        <v>0</v>
      </c>
      <c r="D76" s="5" t="s">
        <v>0</v>
      </c>
      <c r="E76" s="5" t="s">
        <v>48</v>
      </c>
      <c r="F76" s="5" t="s">
        <v>6</v>
      </c>
      <c r="G76" s="6">
        <v>212296.16</v>
      </c>
      <c r="H76" s="42">
        <v>-28445.8</v>
      </c>
      <c r="I76" s="42">
        <v>183850.36</v>
      </c>
      <c r="J76" s="42">
        <v>1052760.49</v>
      </c>
      <c r="K76" s="42">
        <v>-129291.403660048</v>
      </c>
      <c r="L76" s="42">
        <f>+J76+K76</f>
        <v>923469.08633995196</v>
      </c>
      <c r="M76" s="57">
        <v>-634237.99</v>
      </c>
      <c r="N76" s="57"/>
      <c r="O76" s="57"/>
      <c r="P76" s="57"/>
      <c r="Q76" s="57"/>
      <c r="R76" s="57">
        <f>+Q76+M76</f>
        <v>-634237.99</v>
      </c>
      <c r="S76" s="39">
        <f>+I76+R76</f>
        <v>-450387.63</v>
      </c>
      <c r="T76" s="39">
        <f>+L76+R76</f>
        <v>289231.09633995197</v>
      </c>
      <c r="U76" s="39">
        <f>+I76+M76</f>
        <v>-450387.63</v>
      </c>
      <c r="V76" s="39">
        <f>+L76+M76</f>
        <v>289231.09633995197</v>
      </c>
      <c r="W76" s="15">
        <f>+W77</f>
        <v>61</v>
      </c>
      <c r="X76" s="15">
        <f t="shared" ref="X76" si="32">+X77</f>
        <v>56</v>
      </c>
      <c r="Y76" s="15">
        <f t="shared" ref="Y76" si="33">+Y77</f>
        <v>58</v>
      </c>
      <c r="Z76" s="15">
        <f t="shared" ref="Z76" si="34">+Z77</f>
        <v>57</v>
      </c>
      <c r="AA76" s="15">
        <f t="shared" ref="AA76" si="35">+AA77</f>
        <v>46</v>
      </c>
      <c r="AB76" s="31">
        <f>+(AA76-W76)/W76</f>
        <v>-0.24590163934426229</v>
      </c>
    </row>
    <row r="77" spans="1:29" x14ac:dyDescent="0.15">
      <c r="A77" s="8" t="s">
        <v>321</v>
      </c>
      <c r="B77" s="8" t="s">
        <v>322</v>
      </c>
      <c r="C77" s="8" t="s">
        <v>420</v>
      </c>
      <c r="D77" s="8" t="s">
        <v>421</v>
      </c>
      <c r="E77" s="8" t="s">
        <v>48</v>
      </c>
      <c r="F77" s="8" t="s">
        <v>6</v>
      </c>
      <c r="G77" s="9">
        <v>212296.16</v>
      </c>
      <c r="H77" s="43">
        <v>-28445.8</v>
      </c>
      <c r="I77" s="43">
        <v>183850.36</v>
      </c>
      <c r="J77" s="47"/>
      <c r="K77" s="47"/>
      <c r="L77" s="47"/>
      <c r="M77" s="58"/>
      <c r="N77" s="58"/>
      <c r="O77" s="58"/>
      <c r="P77" s="58"/>
      <c r="Q77" s="58"/>
      <c r="R77" s="58"/>
      <c r="S77" s="40"/>
      <c r="T77" s="40"/>
      <c r="U77" s="61"/>
      <c r="V77" s="61"/>
      <c r="W77" s="26">
        <f>60+1</f>
        <v>61</v>
      </c>
      <c r="X77" s="26">
        <v>56</v>
      </c>
      <c r="Y77" s="27">
        <v>58</v>
      </c>
      <c r="Z77" s="27">
        <v>57</v>
      </c>
      <c r="AA77" s="27">
        <v>46</v>
      </c>
      <c r="AB77" s="10"/>
    </row>
    <row r="78" spans="1:29" x14ac:dyDescent="0.15">
      <c r="A78" s="5"/>
      <c r="B78" s="5" t="s">
        <v>0</v>
      </c>
      <c r="C78" s="5" t="s">
        <v>0</v>
      </c>
      <c r="D78" s="5" t="s">
        <v>0</v>
      </c>
      <c r="E78" s="5" t="s">
        <v>49</v>
      </c>
      <c r="F78" s="5" t="s">
        <v>6</v>
      </c>
      <c r="G78" s="6">
        <v>564391</v>
      </c>
      <c r="H78" s="42">
        <v>-252248.83249999999</v>
      </c>
      <c r="I78" s="42">
        <v>312142.16749999998</v>
      </c>
      <c r="J78" s="42">
        <f>2676834.81+178269.27</f>
        <v>2855104.08</v>
      </c>
      <c r="K78" s="42">
        <f>-631300.22163776+1574-29630.8</f>
        <v>-659357.0216377601</v>
      </c>
      <c r="L78" s="42">
        <f>+J78+K78</f>
        <v>2195747.05836224</v>
      </c>
      <c r="M78" s="57">
        <f>-828778.72+980.46-N78</f>
        <v>-819086.97</v>
      </c>
      <c r="N78" s="57">
        <v>-8711.2900000000009</v>
      </c>
      <c r="O78" s="57">
        <v>-980.46</v>
      </c>
      <c r="P78" s="57">
        <v>-30184.68</v>
      </c>
      <c r="Q78" s="57">
        <v>-5305.98</v>
      </c>
      <c r="R78" s="57">
        <f>+Q78+M78</f>
        <v>-824392.95</v>
      </c>
      <c r="S78" s="39">
        <f>+I78+R78</f>
        <v>-512250.78249999997</v>
      </c>
      <c r="T78" s="39">
        <f>+L78+R78</f>
        <v>1371354.10836224</v>
      </c>
      <c r="U78" s="39">
        <f>+I78+M78</f>
        <v>-506944.80249999999</v>
      </c>
      <c r="V78" s="39">
        <f>+L78+M78</f>
        <v>1376660.08836224</v>
      </c>
      <c r="W78" s="15">
        <f>SUM(W79:W82)</f>
        <v>121</v>
      </c>
      <c r="X78" s="15">
        <f t="shared" ref="X78:AA78" si="36">SUM(X79:X82)</f>
        <v>131</v>
      </c>
      <c r="Y78" s="15">
        <f t="shared" si="36"/>
        <v>122</v>
      </c>
      <c r="Z78" s="15">
        <f t="shared" si="36"/>
        <v>108</v>
      </c>
      <c r="AA78" s="15">
        <f t="shared" si="36"/>
        <v>100</v>
      </c>
      <c r="AB78" s="31">
        <f>+(AA78-W78)/W78</f>
        <v>-0.17355371900826447</v>
      </c>
    </row>
    <row r="79" spans="1:29" x14ac:dyDescent="0.15">
      <c r="A79" s="8" t="s">
        <v>62</v>
      </c>
      <c r="B79" s="8" t="s">
        <v>63</v>
      </c>
      <c r="C79" s="8" t="s">
        <v>105</v>
      </c>
      <c r="D79" s="8" t="s">
        <v>106</v>
      </c>
      <c r="E79" s="8" t="s">
        <v>49</v>
      </c>
      <c r="F79" s="8" t="s">
        <v>6</v>
      </c>
      <c r="G79" s="9">
        <v>143230.5</v>
      </c>
      <c r="H79" s="43">
        <v>-118054.2</v>
      </c>
      <c r="I79" s="43">
        <v>25176.3</v>
      </c>
      <c r="J79" s="47"/>
      <c r="K79" s="47"/>
      <c r="L79" s="47"/>
      <c r="M79" s="58"/>
      <c r="N79" s="58"/>
      <c r="O79" s="58"/>
      <c r="P79" s="58"/>
      <c r="Q79" s="58"/>
      <c r="R79" s="58"/>
      <c r="S79" s="40"/>
      <c r="T79" s="40"/>
      <c r="U79" s="40"/>
      <c r="V79" s="40"/>
      <c r="W79" s="16">
        <v>22</v>
      </c>
      <c r="X79" s="16">
        <v>29</v>
      </c>
      <c r="Y79" s="16">
        <v>28</v>
      </c>
      <c r="Z79" s="16">
        <v>33</v>
      </c>
      <c r="AA79" s="16">
        <v>30</v>
      </c>
      <c r="AB79" s="21">
        <f t="shared" ref="AB79:AB82" si="37">+(AA79-W79)/W79</f>
        <v>0.36363636363636365</v>
      </c>
      <c r="AC79" s="33">
        <f>+AA79/AA78</f>
        <v>0.3</v>
      </c>
    </row>
    <row r="80" spans="1:29" x14ac:dyDescent="0.15">
      <c r="A80" s="8" t="s">
        <v>62</v>
      </c>
      <c r="B80" s="8" t="s">
        <v>195</v>
      </c>
      <c r="C80" s="8" t="s">
        <v>285</v>
      </c>
      <c r="D80" s="8" t="s">
        <v>286</v>
      </c>
      <c r="E80" s="8" t="s">
        <v>49</v>
      </c>
      <c r="F80" s="8" t="s">
        <v>6</v>
      </c>
      <c r="G80" s="9">
        <v>118837.9</v>
      </c>
      <c r="H80" s="43">
        <v>-60106.6</v>
      </c>
      <c r="I80" s="43">
        <v>58731.3</v>
      </c>
      <c r="J80" s="47"/>
      <c r="K80" s="47"/>
      <c r="L80" s="47"/>
      <c r="M80" s="58"/>
      <c r="N80" s="58"/>
      <c r="O80" s="58"/>
      <c r="P80" s="58"/>
      <c r="Q80" s="58"/>
      <c r="R80" s="58"/>
      <c r="S80" s="40"/>
      <c r="T80" s="40"/>
      <c r="U80" s="40"/>
      <c r="V80" s="40"/>
      <c r="W80" s="25">
        <v>39</v>
      </c>
      <c r="X80" s="25">
        <v>29</v>
      </c>
      <c r="Y80" s="25">
        <v>27</v>
      </c>
      <c r="Z80" s="16">
        <v>26</v>
      </c>
      <c r="AA80" s="16">
        <v>20</v>
      </c>
      <c r="AB80" s="30">
        <f t="shared" si="37"/>
        <v>-0.48717948717948717</v>
      </c>
      <c r="AC80" s="33">
        <f>+AA80/AA78</f>
        <v>0.2</v>
      </c>
    </row>
    <row r="81" spans="1:29" x14ac:dyDescent="0.15">
      <c r="A81" s="8" t="s">
        <v>321</v>
      </c>
      <c r="B81" s="8" t="s">
        <v>322</v>
      </c>
      <c r="C81" s="8" t="s">
        <v>422</v>
      </c>
      <c r="D81" s="8" t="s">
        <v>423</v>
      </c>
      <c r="E81" s="8" t="s">
        <v>49</v>
      </c>
      <c r="F81" s="8" t="s">
        <v>6</v>
      </c>
      <c r="G81" s="9">
        <v>15589.3</v>
      </c>
      <c r="H81" s="43">
        <v>-2288</v>
      </c>
      <c r="I81" s="43">
        <v>13301.3</v>
      </c>
      <c r="J81" s="47"/>
      <c r="K81" s="47"/>
      <c r="L81" s="47"/>
      <c r="M81" s="58"/>
      <c r="N81" s="58"/>
      <c r="O81" s="58"/>
      <c r="P81" s="58"/>
      <c r="Q81" s="58"/>
      <c r="R81" s="58"/>
      <c r="S81" s="40"/>
      <c r="T81" s="40"/>
      <c r="U81" s="40"/>
      <c r="V81" s="40"/>
      <c r="W81" s="25">
        <v>5</v>
      </c>
      <c r="X81" s="25">
        <v>5</v>
      </c>
      <c r="Y81" s="25">
        <v>4</v>
      </c>
      <c r="Z81" s="16">
        <v>5</v>
      </c>
      <c r="AA81" s="16">
        <v>2</v>
      </c>
      <c r="AB81" s="30">
        <f t="shared" si="37"/>
        <v>-0.6</v>
      </c>
      <c r="AC81" s="33">
        <f>+AA81/AA78</f>
        <v>0.02</v>
      </c>
    </row>
    <row r="82" spans="1:29" x14ac:dyDescent="0.15">
      <c r="A82" s="8" t="s">
        <v>321</v>
      </c>
      <c r="B82" s="8" t="s">
        <v>322</v>
      </c>
      <c r="C82" s="8" t="s">
        <v>424</v>
      </c>
      <c r="D82" s="8" t="s">
        <v>425</v>
      </c>
      <c r="E82" s="8" t="s">
        <v>49</v>
      </c>
      <c r="F82" s="8" t="s">
        <v>6</v>
      </c>
      <c r="G82" s="9">
        <v>286733.3</v>
      </c>
      <c r="H82" s="43">
        <v>-71800.032500000001</v>
      </c>
      <c r="I82" s="43">
        <v>214933.26749999999</v>
      </c>
      <c r="J82" s="47"/>
      <c r="K82" s="47"/>
      <c r="L82" s="47"/>
      <c r="M82" s="58"/>
      <c r="N82" s="58"/>
      <c r="O82" s="58"/>
      <c r="P82" s="58"/>
      <c r="Q82" s="58"/>
      <c r="R82" s="58"/>
      <c r="S82" s="40"/>
      <c r="T82" s="40"/>
      <c r="U82" s="40"/>
      <c r="V82" s="40"/>
      <c r="W82" s="25">
        <v>55</v>
      </c>
      <c r="X82" s="25">
        <v>68</v>
      </c>
      <c r="Y82" s="25">
        <v>63</v>
      </c>
      <c r="Z82" s="16">
        <v>44</v>
      </c>
      <c r="AA82" s="16">
        <v>48</v>
      </c>
      <c r="AB82" s="30">
        <f t="shared" si="37"/>
        <v>-0.12727272727272726</v>
      </c>
      <c r="AC82" s="33">
        <f>+AA82/AA78</f>
        <v>0.48</v>
      </c>
    </row>
    <row r="83" spans="1:29" x14ac:dyDescent="0.15">
      <c r="A83" s="5"/>
      <c r="B83" s="5" t="s">
        <v>0</v>
      </c>
      <c r="C83" s="5" t="s">
        <v>0</v>
      </c>
      <c r="D83" s="5" t="s">
        <v>0</v>
      </c>
      <c r="E83" s="5" t="s">
        <v>50</v>
      </c>
      <c r="F83" s="5" t="s">
        <v>6</v>
      </c>
      <c r="G83" s="6">
        <v>1023200.75</v>
      </c>
      <c r="H83" s="42">
        <v>-199948.87</v>
      </c>
      <c r="I83" s="42">
        <v>823251.88</v>
      </c>
      <c r="J83" s="42">
        <v>1336966.53</v>
      </c>
      <c r="K83" s="42">
        <v>-260098.701505373</v>
      </c>
      <c r="L83" s="42">
        <f>+J83+K83</f>
        <v>1076867.828494627</v>
      </c>
      <c r="M83" s="57">
        <f>-515955.25-N83</f>
        <v>-515475.25</v>
      </c>
      <c r="N83" s="57">
        <v>-480</v>
      </c>
      <c r="O83" s="57">
        <v>-93586.3</v>
      </c>
      <c r="P83" s="57"/>
      <c r="Q83" s="57"/>
      <c r="R83" s="57">
        <f>+Q83+M83</f>
        <v>-515475.25</v>
      </c>
      <c r="S83" s="39">
        <f>+I83+R83</f>
        <v>307776.63</v>
      </c>
      <c r="T83" s="39">
        <f>+L83+R83</f>
        <v>561392.57849462703</v>
      </c>
      <c r="U83" s="39">
        <f>+I83+M83</f>
        <v>307776.63</v>
      </c>
      <c r="V83" s="39">
        <f>+L83+M83</f>
        <v>561392.57849462703</v>
      </c>
      <c r="W83" s="15">
        <f>SUM(W84:W86)</f>
        <v>127</v>
      </c>
      <c r="X83" s="15">
        <f t="shared" ref="X83:AA83" si="38">SUM(X84:X86)</f>
        <v>143</v>
      </c>
      <c r="Y83" s="15">
        <f t="shared" si="38"/>
        <v>159</v>
      </c>
      <c r="Z83" s="15">
        <f t="shared" si="38"/>
        <v>171</v>
      </c>
      <c r="AA83" s="15">
        <f t="shared" si="38"/>
        <v>177</v>
      </c>
      <c r="AB83" s="19">
        <f>+(AA83-W83)/W83</f>
        <v>0.39370078740157483</v>
      </c>
    </row>
    <row r="84" spans="1:29" x14ac:dyDescent="0.15">
      <c r="A84" s="8" t="s">
        <v>62</v>
      </c>
      <c r="B84" s="8" t="s">
        <v>63</v>
      </c>
      <c r="C84" s="8" t="s">
        <v>107</v>
      </c>
      <c r="D84" s="8" t="s">
        <v>108</v>
      </c>
      <c r="E84" s="8" t="s">
        <v>50</v>
      </c>
      <c r="F84" s="8" t="s">
        <v>6</v>
      </c>
      <c r="G84" s="9">
        <v>6455.2</v>
      </c>
      <c r="H84" s="43"/>
      <c r="I84" s="43">
        <v>6455.2</v>
      </c>
      <c r="J84" s="47"/>
      <c r="K84" s="47"/>
      <c r="L84" s="47"/>
      <c r="M84" s="58"/>
      <c r="N84" s="58"/>
      <c r="O84" s="58"/>
      <c r="P84" s="58"/>
      <c r="Q84" s="58"/>
      <c r="R84" s="58"/>
      <c r="S84" s="40"/>
      <c r="T84" s="40"/>
      <c r="U84" s="40"/>
      <c r="V84" s="40"/>
      <c r="W84" s="16">
        <v>2</v>
      </c>
      <c r="X84" s="16">
        <v>2</v>
      </c>
      <c r="Y84" s="16">
        <v>2</v>
      </c>
      <c r="Z84" s="16">
        <v>2</v>
      </c>
      <c r="AA84" s="16">
        <v>2</v>
      </c>
      <c r="AB84" s="21">
        <f t="shared" ref="AB84:AB86" si="39">+(AA84-W84)/W84</f>
        <v>0</v>
      </c>
      <c r="AC84" s="33">
        <f>+AA84/AA83</f>
        <v>1.1299435028248588E-2</v>
      </c>
    </row>
    <row r="85" spans="1:29" x14ac:dyDescent="0.15">
      <c r="A85" s="8" t="s">
        <v>62</v>
      </c>
      <c r="B85" s="8" t="s">
        <v>195</v>
      </c>
      <c r="C85" s="8" t="s">
        <v>287</v>
      </c>
      <c r="D85" s="8" t="s">
        <v>288</v>
      </c>
      <c r="E85" s="8" t="s">
        <v>50</v>
      </c>
      <c r="F85" s="8" t="s">
        <v>6</v>
      </c>
      <c r="G85" s="9">
        <v>20044</v>
      </c>
      <c r="H85" s="43"/>
      <c r="I85" s="43">
        <v>20044</v>
      </c>
      <c r="J85" s="47"/>
      <c r="K85" s="47"/>
      <c r="L85" s="47"/>
      <c r="M85" s="58"/>
      <c r="N85" s="58"/>
      <c r="O85" s="58"/>
      <c r="P85" s="58"/>
      <c r="Q85" s="58"/>
      <c r="R85" s="58"/>
      <c r="S85" s="40"/>
      <c r="T85" s="40"/>
      <c r="U85" s="40"/>
      <c r="V85" s="40"/>
      <c r="W85" s="25">
        <v>3</v>
      </c>
      <c r="X85" s="25">
        <v>5</v>
      </c>
      <c r="Y85" s="25">
        <v>9</v>
      </c>
      <c r="Z85" s="16">
        <v>13</v>
      </c>
      <c r="AA85" s="16">
        <v>10</v>
      </c>
      <c r="AB85" s="21">
        <f t="shared" si="39"/>
        <v>2.3333333333333335</v>
      </c>
      <c r="AC85" s="33">
        <f>+AA85/AA83</f>
        <v>5.6497175141242938E-2</v>
      </c>
    </row>
    <row r="86" spans="1:29" x14ac:dyDescent="0.15">
      <c r="A86" s="8" t="s">
        <v>321</v>
      </c>
      <c r="B86" s="8" t="s">
        <v>322</v>
      </c>
      <c r="C86" s="8" t="s">
        <v>426</v>
      </c>
      <c r="D86" s="8" t="s">
        <v>427</v>
      </c>
      <c r="E86" s="8" t="s">
        <v>50</v>
      </c>
      <c r="F86" s="8" t="s">
        <v>6</v>
      </c>
      <c r="G86" s="9">
        <v>996701.55</v>
      </c>
      <c r="H86" s="43">
        <v>-199948.87</v>
      </c>
      <c r="I86" s="43">
        <v>796752.68</v>
      </c>
      <c r="J86" s="47"/>
      <c r="K86" s="47"/>
      <c r="L86" s="47"/>
      <c r="M86" s="58"/>
      <c r="N86" s="58"/>
      <c r="O86" s="58"/>
      <c r="P86" s="58"/>
      <c r="Q86" s="58"/>
      <c r="R86" s="58"/>
      <c r="S86" s="40"/>
      <c r="T86" s="40"/>
      <c r="U86" s="40"/>
      <c r="V86" s="40"/>
      <c r="W86" s="25">
        <v>122</v>
      </c>
      <c r="X86" s="25">
        <v>136</v>
      </c>
      <c r="Y86" s="16">
        <v>148</v>
      </c>
      <c r="Z86" s="16">
        <v>156</v>
      </c>
      <c r="AA86" s="16">
        <v>165</v>
      </c>
      <c r="AB86" s="21">
        <f t="shared" si="39"/>
        <v>0.35245901639344263</v>
      </c>
      <c r="AC86" s="33">
        <f>+AA86/AA83</f>
        <v>0.93220338983050843</v>
      </c>
    </row>
    <row r="87" spans="1:29" x14ac:dyDescent="0.15">
      <c r="A87" s="5"/>
      <c r="B87" s="5" t="s">
        <v>0</v>
      </c>
      <c r="C87" s="5" t="s">
        <v>0</v>
      </c>
      <c r="D87" s="5" t="s">
        <v>0</v>
      </c>
      <c r="E87" s="5" t="s">
        <v>51</v>
      </c>
      <c r="F87" s="5" t="s">
        <v>6</v>
      </c>
      <c r="G87" s="6">
        <v>3439241.38</v>
      </c>
      <c r="H87" s="42">
        <v>-951542.41749999998</v>
      </c>
      <c r="I87" s="42">
        <v>2487698.9624999999</v>
      </c>
      <c r="J87" s="42">
        <f>2781403+32298.98</f>
        <v>2813701.98</v>
      </c>
      <c r="K87" s="42">
        <f>-826819+2065-2573.5</f>
        <v>-827327.5</v>
      </c>
      <c r="L87" s="42">
        <f>+J87+K87</f>
        <v>1986374.48</v>
      </c>
      <c r="M87" s="57">
        <f>-1068837.04</f>
        <v>-1068837.04</v>
      </c>
      <c r="N87" s="57"/>
      <c r="O87" s="57">
        <v>-22016.880000000001</v>
      </c>
      <c r="P87" s="57">
        <v>-273549.48</v>
      </c>
      <c r="Q87" s="57"/>
      <c r="R87" s="57">
        <f>+Q87+M87</f>
        <v>-1068837.04</v>
      </c>
      <c r="S87" s="39">
        <f>+I87+R87</f>
        <v>1418861.9224999999</v>
      </c>
      <c r="T87" s="39">
        <f>+L87+R87</f>
        <v>917537.44</v>
      </c>
      <c r="U87" s="39">
        <f>+I87+M87</f>
        <v>1418861.9224999999</v>
      </c>
      <c r="V87" s="39">
        <f>+L87+M87</f>
        <v>917537.44</v>
      </c>
      <c r="W87" s="15">
        <f>SUM(W88:W89)</f>
        <v>553</v>
      </c>
      <c r="X87" s="15">
        <f t="shared" ref="X87:AA87" si="40">SUM(X88:X89)</f>
        <v>571</v>
      </c>
      <c r="Y87" s="15">
        <f t="shared" si="40"/>
        <v>553</v>
      </c>
      <c r="Z87" s="15">
        <f t="shared" si="40"/>
        <v>536</v>
      </c>
      <c r="AA87" s="15">
        <f t="shared" si="40"/>
        <v>528</v>
      </c>
      <c r="AB87" s="31">
        <f>+(AA87-W87)/W87</f>
        <v>-4.5207956600361664E-2</v>
      </c>
    </row>
    <row r="88" spans="1:29" x14ac:dyDescent="0.15">
      <c r="A88" s="8" t="s">
        <v>62</v>
      </c>
      <c r="B88" s="8" t="s">
        <v>117</v>
      </c>
      <c r="C88" s="8" t="s">
        <v>137</v>
      </c>
      <c r="D88" s="8" t="s">
        <v>138</v>
      </c>
      <c r="E88" s="8" t="s">
        <v>51</v>
      </c>
      <c r="F88" s="8" t="s">
        <v>6</v>
      </c>
      <c r="G88" s="9">
        <v>355740.4</v>
      </c>
      <c r="H88" s="43">
        <v>-329341.84999999998</v>
      </c>
      <c r="I88" s="43">
        <v>26398.55</v>
      </c>
      <c r="J88" s="47"/>
      <c r="K88" s="47"/>
      <c r="L88" s="47"/>
      <c r="M88" s="58"/>
      <c r="N88" s="58"/>
      <c r="O88" s="58"/>
      <c r="P88" s="58"/>
      <c r="Q88" s="58"/>
      <c r="R88" s="58"/>
      <c r="S88" s="40"/>
      <c r="T88" s="40"/>
      <c r="U88" s="40"/>
      <c r="V88" s="40"/>
      <c r="W88" s="25">
        <v>31</v>
      </c>
      <c r="X88" s="25">
        <v>31</v>
      </c>
      <c r="Y88" s="25">
        <v>30</v>
      </c>
      <c r="Z88" s="16">
        <v>34</v>
      </c>
      <c r="AA88" s="16">
        <v>36</v>
      </c>
      <c r="AB88" s="21">
        <f t="shared" ref="AB88:AB89" si="41">+(AA88-W88)/W88</f>
        <v>0.16129032258064516</v>
      </c>
      <c r="AC88" s="33">
        <f>+AA88/AA87</f>
        <v>6.8181818181818177E-2</v>
      </c>
    </row>
    <row r="89" spans="1:29" x14ac:dyDescent="0.15">
      <c r="A89" s="8" t="s">
        <v>321</v>
      </c>
      <c r="B89" s="8" t="s">
        <v>322</v>
      </c>
      <c r="C89" s="8" t="s">
        <v>428</v>
      </c>
      <c r="D89" s="8" t="s">
        <v>429</v>
      </c>
      <c r="E89" s="8" t="s">
        <v>51</v>
      </c>
      <c r="F89" s="8" t="s">
        <v>6</v>
      </c>
      <c r="G89" s="9">
        <v>3083500.98</v>
      </c>
      <c r="H89" s="43">
        <v>-622200.5675</v>
      </c>
      <c r="I89" s="43">
        <v>2461300.4125000001</v>
      </c>
      <c r="J89" s="47"/>
      <c r="K89" s="47"/>
      <c r="L89" s="47"/>
      <c r="M89" s="58"/>
      <c r="N89" s="58"/>
      <c r="O89" s="58"/>
      <c r="P89" s="58"/>
      <c r="Q89" s="58"/>
      <c r="R89" s="58"/>
      <c r="S89" s="40"/>
      <c r="T89" s="40"/>
      <c r="U89" s="40"/>
      <c r="V89" s="40"/>
      <c r="W89" s="25">
        <v>522</v>
      </c>
      <c r="X89" s="25">
        <v>540</v>
      </c>
      <c r="Y89" s="16">
        <v>523</v>
      </c>
      <c r="Z89" s="16">
        <v>502</v>
      </c>
      <c r="AA89" s="16">
        <v>492</v>
      </c>
      <c r="AB89" s="30">
        <f t="shared" si="41"/>
        <v>-5.7471264367816091E-2</v>
      </c>
      <c r="AC89" s="33">
        <f>+AA89/AA87</f>
        <v>0.93181818181818177</v>
      </c>
    </row>
    <row r="90" spans="1:29" x14ac:dyDescent="0.15">
      <c r="A90" s="5"/>
      <c r="B90" s="5" t="s">
        <v>0</v>
      </c>
      <c r="C90" s="5" t="s">
        <v>0</v>
      </c>
      <c r="D90" s="5" t="s">
        <v>0</v>
      </c>
      <c r="E90" s="5" t="s">
        <v>53</v>
      </c>
      <c r="F90" s="5" t="s">
        <v>6</v>
      </c>
      <c r="G90" s="6">
        <v>870187.5</v>
      </c>
      <c r="H90" s="42">
        <v>-34504.36</v>
      </c>
      <c r="I90" s="42">
        <v>835683.14</v>
      </c>
      <c r="J90" s="42">
        <v>893894.34</v>
      </c>
      <c r="K90" s="42">
        <v>-36591.760000000002</v>
      </c>
      <c r="L90" s="42">
        <f>+J90+K90</f>
        <v>857302.58</v>
      </c>
      <c r="M90" s="57">
        <v>-606464.48</v>
      </c>
      <c r="N90" s="57"/>
      <c r="O90" s="57">
        <v>-11410.9</v>
      </c>
      <c r="P90" s="57">
        <v>-3217.05</v>
      </c>
      <c r="Q90" s="57"/>
      <c r="R90" s="57">
        <f>+Q90+M90</f>
        <v>-606464.48</v>
      </c>
      <c r="S90" s="39">
        <f>+I90+R90</f>
        <v>229218.66000000003</v>
      </c>
      <c r="T90" s="39">
        <f>+L90+R90</f>
        <v>250838.09999999998</v>
      </c>
      <c r="U90" s="39">
        <f>+I90+M90</f>
        <v>229218.66000000003</v>
      </c>
      <c r="V90" s="39">
        <f>+L90+M90</f>
        <v>250838.09999999998</v>
      </c>
      <c r="W90" s="15">
        <f>+W91</f>
        <v>161</v>
      </c>
      <c r="X90" s="15">
        <f t="shared" ref="X90" si="42">+X91</f>
        <v>169</v>
      </c>
      <c r="Y90" s="15">
        <f t="shared" ref="Y90" si="43">+Y91</f>
        <v>177</v>
      </c>
      <c r="Z90" s="15">
        <f t="shared" ref="Z90" si="44">+Z91</f>
        <v>139</v>
      </c>
      <c r="AA90" s="15">
        <f t="shared" ref="AA90" si="45">+AA91</f>
        <v>112</v>
      </c>
      <c r="AB90" s="31">
        <f>+(AA90-W90)/W90</f>
        <v>-0.30434782608695654</v>
      </c>
    </row>
    <row r="91" spans="1:29" x14ac:dyDescent="0.15">
      <c r="A91" s="8" t="s">
        <v>62</v>
      </c>
      <c r="B91" s="8" t="s">
        <v>195</v>
      </c>
      <c r="C91" s="8" t="s">
        <v>293</v>
      </c>
      <c r="D91" s="8" t="s">
        <v>294</v>
      </c>
      <c r="E91" s="8" t="s">
        <v>53</v>
      </c>
      <c r="F91" s="8" t="s">
        <v>6</v>
      </c>
      <c r="G91" s="9">
        <v>870187.5</v>
      </c>
      <c r="H91" s="43">
        <v>-34504.36</v>
      </c>
      <c r="I91" s="43">
        <v>835683.14</v>
      </c>
      <c r="J91" s="47"/>
      <c r="K91" s="47"/>
      <c r="L91" s="47"/>
      <c r="M91" s="58"/>
      <c r="N91" s="58"/>
      <c r="O91" s="58"/>
      <c r="P91" s="58"/>
      <c r="Q91" s="58"/>
      <c r="R91" s="58"/>
      <c r="S91" s="40"/>
      <c r="T91" s="40"/>
      <c r="U91" s="40"/>
      <c r="V91" s="40"/>
      <c r="W91" s="25">
        <v>161</v>
      </c>
      <c r="X91" s="25">
        <v>169</v>
      </c>
      <c r="Y91" s="25">
        <v>177</v>
      </c>
      <c r="Z91" s="16">
        <v>139</v>
      </c>
      <c r="AA91" s="16">
        <v>112</v>
      </c>
      <c r="AB91" s="10"/>
    </row>
    <row r="92" spans="1:29" x14ac:dyDescent="0.15">
      <c r="A92" s="5"/>
      <c r="B92" s="5" t="s">
        <v>0</v>
      </c>
      <c r="C92" s="5" t="s">
        <v>0</v>
      </c>
      <c r="D92" s="5" t="s">
        <v>0</v>
      </c>
      <c r="E92" s="5" t="s">
        <v>54</v>
      </c>
      <c r="F92" s="5" t="s">
        <v>6</v>
      </c>
      <c r="G92" s="6">
        <f>SUM(G93:G95)</f>
        <v>556771</v>
      </c>
      <c r="H92" s="42">
        <f>SUM(H93:H95)</f>
        <v>-93476.6</v>
      </c>
      <c r="I92" s="42">
        <f>SUM(I93:I95)</f>
        <v>463294.39999999997</v>
      </c>
      <c r="J92" s="42">
        <v>1209655.1000000001</v>
      </c>
      <c r="K92" s="42">
        <f>-192241.879482095+1467</f>
        <v>-190774.87948209501</v>
      </c>
      <c r="L92" s="42">
        <f>+J92+K92</f>
        <v>1018880.2205179051</v>
      </c>
      <c r="M92" s="57">
        <v>-856799.88</v>
      </c>
      <c r="N92" s="57"/>
      <c r="O92" s="57"/>
      <c r="P92" s="57"/>
      <c r="Q92" s="57">
        <v>-5417.45</v>
      </c>
      <c r="R92" s="57">
        <f>+Q92+M92</f>
        <v>-862217.33</v>
      </c>
      <c r="S92" s="39">
        <f>+I92+R92</f>
        <v>-398922.93</v>
      </c>
      <c r="T92" s="39">
        <f>+L92+R92</f>
        <v>156662.89051790512</v>
      </c>
      <c r="U92" s="39">
        <f>+I92+M92</f>
        <v>-393505.48000000004</v>
      </c>
      <c r="V92" s="39">
        <f>+L92+M92</f>
        <v>162080.34051790508</v>
      </c>
      <c r="W92" s="15">
        <f>SUM(W93:W95)</f>
        <v>134</v>
      </c>
      <c r="X92" s="15">
        <f t="shared" ref="X92:AA92" si="46">SUM(X93:X95)</f>
        <v>137</v>
      </c>
      <c r="Y92" s="15">
        <f t="shared" si="46"/>
        <v>126</v>
      </c>
      <c r="Z92" s="15">
        <f t="shared" si="46"/>
        <v>120</v>
      </c>
      <c r="AA92" s="15">
        <f t="shared" si="46"/>
        <v>93</v>
      </c>
      <c r="AB92" s="31">
        <f>+(AA92-W92)/W92</f>
        <v>-0.30597014925373134</v>
      </c>
    </row>
    <row r="93" spans="1:29" x14ac:dyDescent="0.15">
      <c r="A93" s="8" t="s">
        <v>62</v>
      </c>
      <c r="B93" s="8" t="s">
        <v>63</v>
      </c>
      <c r="C93" s="8" t="s">
        <v>113</v>
      </c>
      <c r="D93" s="8" t="s">
        <v>114</v>
      </c>
      <c r="E93" s="8" t="s">
        <v>54</v>
      </c>
      <c r="F93" s="8" t="s">
        <v>6</v>
      </c>
      <c r="G93" s="9">
        <v>397.6</v>
      </c>
      <c r="H93" s="43"/>
      <c r="I93" s="43">
        <v>397.6</v>
      </c>
      <c r="J93" s="47"/>
      <c r="K93" s="47"/>
      <c r="L93" s="47"/>
      <c r="M93" s="58"/>
      <c r="N93" s="58"/>
      <c r="O93" s="58"/>
      <c r="P93" s="58"/>
      <c r="Q93" s="58"/>
      <c r="R93" s="58"/>
      <c r="S93" s="40"/>
      <c r="T93" s="40"/>
      <c r="U93" s="40"/>
      <c r="V93" s="40"/>
      <c r="W93" s="16">
        <v>1</v>
      </c>
      <c r="X93" s="16">
        <v>1</v>
      </c>
      <c r="Y93" s="16">
        <v>1</v>
      </c>
      <c r="Z93" s="16">
        <v>1</v>
      </c>
      <c r="AA93" s="16"/>
      <c r="AB93" s="30">
        <f t="shared" ref="AB93:AB95" si="47">+(AA93-W93)/W93</f>
        <v>-1</v>
      </c>
      <c r="AC93" s="33">
        <f>+AA93/AA92</f>
        <v>0</v>
      </c>
    </row>
    <row r="94" spans="1:29" x14ac:dyDescent="0.15">
      <c r="A94" s="8" t="s">
        <v>62</v>
      </c>
      <c r="B94" s="8" t="s">
        <v>195</v>
      </c>
      <c r="C94" s="8" t="s">
        <v>295</v>
      </c>
      <c r="D94" s="8" t="s">
        <v>296</v>
      </c>
      <c r="E94" s="8" t="s">
        <v>54</v>
      </c>
      <c r="F94" s="8" t="s">
        <v>6</v>
      </c>
      <c r="G94" s="9">
        <v>398</v>
      </c>
      <c r="H94" s="43"/>
      <c r="I94" s="43">
        <v>398</v>
      </c>
      <c r="J94" s="47"/>
      <c r="K94" s="47"/>
      <c r="L94" s="47"/>
      <c r="M94" s="58"/>
      <c r="N94" s="58"/>
      <c r="O94" s="58"/>
      <c r="P94" s="58"/>
      <c r="Q94" s="58"/>
      <c r="R94" s="58"/>
      <c r="S94" s="40"/>
      <c r="T94" s="40"/>
      <c r="U94" s="40"/>
      <c r="V94" s="40"/>
      <c r="W94" s="25">
        <v>7</v>
      </c>
      <c r="X94" s="25">
        <v>10</v>
      </c>
      <c r="Y94" s="25">
        <v>9</v>
      </c>
      <c r="Z94" s="16">
        <v>6</v>
      </c>
      <c r="AA94" s="16">
        <v>2</v>
      </c>
      <c r="AB94" s="30">
        <f t="shared" si="47"/>
        <v>-0.7142857142857143</v>
      </c>
      <c r="AC94" s="33">
        <f>+AA94/AA92</f>
        <v>2.1505376344086023E-2</v>
      </c>
    </row>
    <row r="95" spans="1:29" x14ac:dyDescent="0.15">
      <c r="A95" s="8" t="s">
        <v>321</v>
      </c>
      <c r="B95" s="8" t="s">
        <v>322</v>
      </c>
      <c r="C95" s="8" t="s">
        <v>436</v>
      </c>
      <c r="D95" s="8" t="s">
        <v>437</v>
      </c>
      <c r="E95" s="8" t="s">
        <v>54</v>
      </c>
      <c r="F95" s="8" t="s">
        <v>6</v>
      </c>
      <c r="G95" s="9">
        <v>555975.4</v>
      </c>
      <c r="H95" s="43">
        <v>-93476.6</v>
      </c>
      <c r="I95" s="43">
        <v>462498.8</v>
      </c>
      <c r="J95" s="47"/>
      <c r="K95" s="47"/>
      <c r="L95" s="47"/>
      <c r="M95" s="58"/>
      <c r="N95" s="58"/>
      <c r="O95" s="58"/>
      <c r="P95" s="58"/>
      <c r="Q95" s="58"/>
      <c r="R95" s="58"/>
      <c r="S95" s="40"/>
      <c r="T95" s="40"/>
      <c r="U95" s="40"/>
      <c r="V95" s="40"/>
      <c r="W95" s="25">
        <v>126</v>
      </c>
      <c r="X95" s="25">
        <v>126</v>
      </c>
      <c r="Y95" s="16">
        <v>116</v>
      </c>
      <c r="Z95" s="16">
        <v>113</v>
      </c>
      <c r="AA95" s="16">
        <v>91</v>
      </c>
      <c r="AB95" s="30">
        <f t="shared" si="47"/>
        <v>-0.27777777777777779</v>
      </c>
      <c r="AC95" s="33">
        <f>+AA95/AA92</f>
        <v>0.978494623655914</v>
      </c>
    </row>
    <row r="96" spans="1:29" x14ac:dyDescent="0.15">
      <c r="A96" s="5"/>
      <c r="B96" s="5" t="s">
        <v>0</v>
      </c>
      <c r="C96" s="5" t="s">
        <v>0</v>
      </c>
      <c r="D96" s="5" t="s">
        <v>0</v>
      </c>
      <c r="E96" s="5" t="s">
        <v>463</v>
      </c>
      <c r="F96" s="5" t="s">
        <v>23</v>
      </c>
      <c r="G96" s="6"/>
      <c r="H96" s="42"/>
      <c r="I96" s="42"/>
      <c r="J96" s="42">
        <v>2036190</v>
      </c>
      <c r="K96" s="42">
        <v>-1050309.12294461</v>
      </c>
      <c r="L96" s="42">
        <f>+J96+K96</f>
        <v>985880.87705539004</v>
      </c>
      <c r="M96" s="57"/>
      <c r="N96" s="57"/>
      <c r="O96" s="57"/>
      <c r="P96" s="57"/>
      <c r="Q96" s="57"/>
      <c r="R96" s="57"/>
      <c r="S96" s="39"/>
      <c r="T96" s="39"/>
      <c r="U96" s="39"/>
      <c r="V96" s="39"/>
      <c r="W96" s="15"/>
      <c r="X96" s="15"/>
      <c r="Y96" s="15"/>
      <c r="Z96" s="15"/>
      <c r="AA96" s="15"/>
      <c r="AB96" s="19"/>
    </row>
    <row r="97" spans="1:29" x14ac:dyDescent="0.15">
      <c r="A97" s="5"/>
      <c r="B97" s="5" t="s">
        <v>0</v>
      </c>
      <c r="C97" s="5" t="s">
        <v>0</v>
      </c>
      <c r="D97" s="5" t="s">
        <v>0</v>
      </c>
      <c r="E97" s="5" t="s">
        <v>22</v>
      </c>
      <c r="F97" s="5" t="s">
        <v>23</v>
      </c>
      <c r="G97" s="6">
        <v>932525.32</v>
      </c>
      <c r="H97" s="42">
        <v>-268251.52000000002</v>
      </c>
      <c r="I97" s="42">
        <v>664273.80000000005</v>
      </c>
      <c r="J97" s="42">
        <v>699473.34</v>
      </c>
      <c r="K97" s="42">
        <v>-200248.616162975</v>
      </c>
      <c r="L97" s="42">
        <f>+J97+K97</f>
        <v>499224.723837025</v>
      </c>
      <c r="M97" s="57">
        <v>-501007.92</v>
      </c>
      <c r="N97" s="57"/>
      <c r="O97" s="57"/>
      <c r="P97" s="57"/>
      <c r="Q97" s="57"/>
      <c r="R97" s="57">
        <f>+Q97+M97</f>
        <v>-501007.92</v>
      </c>
      <c r="S97" s="39">
        <f>+I97+R97</f>
        <v>163265.88000000006</v>
      </c>
      <c r="T97" s="39">
        <f>+L97+R97</f>
        <v>-1783.1961629749858</v>
      </c>
      <c r="U97" s="39">
        <f>+I97+M97</f>
        <v>163265.88000000006</v>
      </c>
      <c r="V97" s="39">
        <f>+L97+M97</f>
        <v>-1783.1961629749858</v>
      </c>
      <c r="W97" s="15">
        <f>+W98</f>
        <v>72</v>
      </c>
      <c r="X97" s="15">
        <f t="shared" ref="X97:AA97" si="48">+X98</f>
        <v>73</v>
      </c>
      <c r="Y97" s="15">
        <f t="shared" si="48"/>
        <v>64</v>
      </c>
      <c r="Z97" s="15">
        <f t="shared" si="48"/>
        <v>69</v>
      </c>
      <c r="AA97" s="15">
        <f t="shared" si="48"/>
        <v>70</v>
      </c>
      <c r="AB97" s="31">
        <f>+(AA97-W97)/W97</f>
        <v>-2.7777777777777776E-2</v>
      </c>
    </row>
    <row r="98" spans="1:29" x14ac:dyDescent="0.15">
      <c r="A98" s="8" t="s">
        <v>321</v>
      </c>
      <c r="B98" s="8" t="s">
        <v>322</v>
      </c>
      <c r="C98" s="8" t="s">
        <v>349</v>
      </c>
      <c r="D98" s="8" t="s">
        <v>350</v>
      </c>
      <c r="E98" s="8" t="s">
        <v>22</v>
      </c>
      <c r="F98" s="8" t="s">
        <v>23</v>
      </c>
      <c r="G98" s="9">
        <v>932525.32</v>
      </c>
      <c r="H98" s="43">
        <v>-268251.52000000002</v>
      </c>
      <c r="I98" s="43">
        <v>664273.80000000005</v>
      </c>
      <c r="J98" s="47"/>
      <c r="K98" s="47"/>
      <c r="L98" s="47"/>
      <c r="M98" s="58"/>
      <c r="N98" s="58"/>
      <c r="O98" s="58"/>
      <c r="P98" s="58"/>
      <c r="Q98" s="58"/>
      <c r="R98" s="58"/>
      <c r="S98" s="40"/>
      <c r="T98" s="40"/>
      <c r="U98" s="40"/>
      <c r="V98" s="40"/>
      <c r="W98" s="25">
        <v>72</v>
      </c>
      <c r="X98" s="25">
        <v>73</v>
      </c>
      <c r="Y98" s="16">
        <v>64</v>
      </c>
      <c r="Z98" s="16">
        <v>69</v>
      </c>
      <c r="AA98" s="16">
        <v>70</v>
      </c>
      <c r="AB98" s="10"/>
    </row>
    <row r="99" spans="1:29" x14ac:dyDescent="0.15">
      <c r="A99" s="5"/>
      <c r="B99" s="5" t="s">
        <v>0</v>
      </c>
      <c r="C99" s="5" t="s">
        <v>0</v>
      </c>
      <c r="D99" s="5" t="s">
        <v>0</v>
      </c>
      <c r="E99" s="5" t="s">
        <v>40</v>
      </c>
      <c r="F99" s="5" t="s">
        <v>23</v>
      </c>
      <c r="G99" s="6" t="e">
        <f ca="1">SUM(G100:G106)+_xlfn.SINGLE(SUM(G109:G113))</f>
        <v>#NAME?</v>
      </c>
      <c r="H99" s="42" t="e">
        <f ca="1">SUM(H100:H106)+_xlfn.SINGLE(SUM(H109:H113))</f>
        <v>#NAME?</v>
      </c>
      <c r="I99" s="42">
        <f t="shared" ref="I99" si="49">SUM(I100:I113)</f>
        <v>1750793.4849999999</v>
      </c>
      <c r="J99" s="42">
        <v>2526342.7949999999</v>
      </c>
      <c r="K99" s="42">
        <v>-217330.82074949201</v>
      </c>
      <c r="L99" s="42">
        <f>+J99+K99</f>
        <v>2309011.974250508</v>
      </c>
      <c r="M99" s="57">
        <f>-2208116.38</f>
        <v>-2208116.38</v>
      </c>
      <c r="N99" s="57"/>
      <c r="O99" s="57"/>
      <c r="P99" s="57"/>
      <c r="Q99" s="57">
        <f>-117399.86-5293.82-100</f>
        <v>-122793.68</v>
      </c>
      <c r="R99" s="57">
        <f>+Q99+M99</f>
        <v>-2330910.06</v>
      </c>
      <c r="S99" s="39">
        <f>+I99+R99</f>
        <v>-580116.57500000019</v>
      </c>
      <c r="T99" s="39">
        <f>+L99+R99</f>
        <v>-21898.085749492049</v>
      </c>
      <c r="U99" s="39">
        <f>+I99+M99</f>
        <v>-457322.89500000002</v>
      </c>
      <c r="V99" s="39">
        <f>+L99+M99</f>
        <v>100895.59425050812</v>
      </c>
      <c r="W99" s="15">
        <f t="shared" ref="W99:Z99" si="50">SUM(W100:W113)</f>
        <v>240</v>
      </c>
      <c r="X99" s="15">
        <f t="shared" si="50"/>
        <v>238</v>
      </c>
      <c r="Y99" s="15">
        <f t="shared" si="50"/>
        <v>240</v>
      </c>
      <c r="Z99" s="15">
        <f t="shared" si="50"/>
        <v>243</v>
      </c>
      <c r="AA99" s="15">
        <f>SUM(AA100:AA113)</f>
        <v>253</v>
      </c>
      <c r="AB99" s="19">
        <f>+(AA99-W99)/W99</f>
        <v>5.4166666666666669E-2</v>
      </c>
    </row>
    <row r="100" spans="1:29" x14ac:dyDescent="0.15">
      <c r="A100" s="8" t="s">
        <v>62</v>
      </c>
      <c r="B100" s="8" t="s">
        <v>63</v>
      </c>
      <c r="C100" s="8" t="s">
        <v>97</v>
      </c>
      <c r="D100" s="8" t="s">
        <v>98</v>
      </c>
      <c r="E100" s="8" t="s">
        <v>40</v>
      </c>
      <c r="F100" s="8" t="s">
        <v>23</v>
      </c>
      <c r="G100" s="9">
        <v>27669.9</v>
      </c>
      <c r="H100" s="43">
        <v>-25236.2</v>
      </c>
      <c r="I100" s="43">
        <v>2433.6999999999998</v>
      </c>
      <c r="J100" s="47"/>
      <c r="K100" s="47"/>
      <c r="L100" s="47"/>
      <c r="M100" s="58"/>
      <c r="N100" s="58"/>
      <c r="O100" s="58"/>
      <c r="P100" s="58"/>
      <c r="Q100" s="58"/>
      <c r="R100" s="58"/>
      <c r="S100" s="40"/>
      <c r="T100" s="40"/>
      <c r="U100" s="40"/>
      <c r="V100" s="40"/>
      <c r="W100" s="16">
        <v>3</v>
      </c>
      <c r="X100" s="16">
        <v>2</v>
      </c>
      <c r="Y100" s="16">
        <v>2</v>
      </c>
      <c r="Z100" s="16">
        <v>2</v>
      </c>
      <c r="AA100" s="16">
        <v>2</v>
      </c>
      <c r="AB100" s="30">
        <f t="shared" ref="AB100:AB113" si="51">+(AA100-W100)/W100</f>
        <v>-0.33333333333333331</v>
      </c>
      <c r="AC100" s="33">
        <f>+AA100/AA99</f>
        <v>7.9051383399209481E-3</v>
      </c>
    </row>
    <row r="101" spans="1:29" x14ac:dyDescent="0.15">
      <c r="A101" s="8" t="s">
        <v>62</v>
      </c>
      <c r="B101" s="8" t="s">
        <v>117</v>
      </c>
      <c r="C101" s="8" t="s">
        <v>127</v>
      </c>
      <c r="D101" s="8" t="s">
        <v>128</v>
      </c>
      <c r="E101" s="8" t="s">
        <v>40</v>
      </c>
      <c r="F101" s="8" t="s">
        <v>23</v>
      </c>
      <c r="G101" s="9">
        <v>177103.5</v>
      </c>
      <c r="H101" s="43">
        <v>-81468.800000000003</v>
      </c>
      <c r="I101" s="43">
        <v>95634.7</v>
      </c>
      <c r="J101" s="47"/>
      <c r="K101" s="47"/>
      <c r="L101" s="47"/>
      <c r="M101" s="58"/>
      <c r="N101" s="58"/>
      <c r="O101" s="58"/>
      <c r="P101" s="58"/>
      <c r="Q101" s="58"/>
      <c r="R101" s="58"/>
      <c r="S101" s="40"/>
      <c r="T101" s="40"/>
      <c r="U101" s="40"/>
      <c r="V101" s="40"/>
      <c r="W101" s="25">
        <v>21</v>
      </c>
      <c r="X101" s="25">
        <v>23</v>
      </c>
      <c r="Y101" s="25">
        <v>17</v>
      </c>
      <c r="Z101" s="16">
        <v>15</v>
      </c>
      <c r="AA101" s="16">
        <v>14</v>
      </c>
      <c r="AB101" s="30">
        <f t="shared" si="51"/>
        <v>-0.33333333333333331</v>
      </c>
      <c r="AC101" s="33">
        <f>+AA101/AA99</f>
        <v>5.533596837944664E-2</v>
      </c>
    </row>
    <row r="102" spans="1:29" x14ac:dyDescent="0.15">
      <c r="A102" s="8" t="s">
        <v>62</v>
      </c>
      <c r="B102" s="8" t="s">
        <v>195</v>
      </c>
      <c r="C102" s="8" t="s">
        <v>262</v>
      </c>
      <c r="D102" s="8" t="s">
        <v>263</v>
      </c>
      <c r="E102" s="8" t="s">
        <v>40</v>
      </c>
      <c r="F102" s="8" t="s">
        <v>23</v>
      </c>
      <c r="G102" s="9">
        <v>257739.8</v>
      </c>
      <c r="H102" s="43">
        <v>-100042.9</v>
      </c>
      <c r="I102" s="43">
        <v>157696.9</v>
      </c>
      <c r="J102" s="47"/>
      <c r="K102" s="47"/>
      <c r="L102" s="47"/>
      <c r="M102" s="58"/>
      <c r="N102" s="58"/>
      <c r="O102" s="58"/>
      <c r="P102" s="58"/>
      <c r="Q102" s="58"/>
      <c r="R102" s="58"/>
      <c r="S102" s="40"/>
      <c r="T102" s="40"/>
      <c r="U102" s="40"/>
      <c r="V102" s="40"/>
      <c r="W102" s="25">
        <v>12</v>
      </c>
      <c r="X102" s="25">
        <v>11</v>
      </c>
      <c r="Y102" s="25">
        <v>9</v>
      </c>
      <c r="Z102" s="16">
        <v>9</v>
      </c>
      <c r="AA102" s="16">
        <v>16</v>
      </c>
      <c r="AB102" s="21">
        <f t="shared" si="51"/>
        <v>0.33333333333333331</v>
      </c>
      <c r="AC102" s="33">
        <f>+AA102/$AA$99</f>
        <v>6.3241106719367585E-2</v>
      </c>
    </row>
    <row r="103" spans="1:29" x14ac:dyDescent="0.15">
      <c r="A103" s="8" t="s">
        <v>62</v>
      </c>
      <c r="B103" s="8" t="s">
        <v>195</v>
      </c>
      <c r="C103" s="8" t="s">
        <v>264</v>
      </c>
      <c r="D103" s="8" t="s">
        <v>265</v>
      </c>
      <c r="E103" s="8" t="s">
        <v>40</v>
      </c>
      <c r="F103" s="8" t="s">
        <v>23</v>
      </c>
      <c r="G103" s="9">
        <v>18887.900000000001</v>
      </c>
      <c r="H103" s="43"/>
      <c r="I103" s="43">
        <v>18887.900000000001</v>
      </c>
      <c r="J103" s="47"/>
      <c r="K103" s="47"/>
      <c r="L103" s="47"/>
      <c r="M103" s="58"/>
      <c r="N103" s="58"/>
      <c r="O103" s="58"/>
      <c r="P103" s="58"/>
      <c r="Q103" s="58"/>
      <c r="R103" s="58"/>
      <c r="S103" s="40"/>
      <c r="T103" s="40"/>
      <c r="U103" s="40"/>
      <c r="V103" s="40"/>
      <c r="W103" s="25">
        <v>16</v>
      </c>
      <c r="X103" s="25">
        <v>19</v>
      </c>
      <c r="Y103" s="25">
        <v>25</v>
      </c>
      <c r="Z103" s="16">
        <v>23</v>
      </c>
      <c r="AA103" s="16">
        <v>21</v>
      </c>
      <c r="AB103" s="21">
        <f t="shared" si="51"/>
        <v>0.3125</v>
      </c>
      <c r="AC103" s="33">
        <f t="shared" ref="AC103:AC113" si="52">+AA103/$AA$99</f>
        <v>8.3003952569169967E-2</v>
      </c>
    </row>
    <row r="104" spans="1:29" x14ac:dyDescent="0.15">
      <c r="A104" s="8" t="s">
        <v>62</v>
      </c>
      <c r="B104" s="8" t="s">
        <v>195</v>
      </c>
      <c r="C104" s="8" t="s">
        <v>271</v>
      </c>
      <c r="D104" s="8" t="s">
        <v>272</v>
      </c>
      <c r="E104" s="8" t="s">
        <v>40</v>
      </c>
      <c r="F104" s="8" t="s">
        <v>23</v>
      </c>
      <c r="G104" s="9">
        <v>50627.9</v>
      </c>
      <c r="H104" s="43">
        <v>-30413.1</v>
      </c>
      <c r="I104" s="43">
        <v>20214.8</v>
      </c>
      <c r="J104" s="47"/>
      <c r="K104" s="47"/>
      <c r="L104" s="47"/>
      <c r="M104" s="58"/>
      <c r="N104" s="58"/>
      <c r="O104" s="58"/>
      <c r="P104" s="58"/>
      <c r="Q104" s="58"/>
      <c r="R104" s="58"/>
      <c r="S104" s="40"/>
      <c r="T104" s="40"/>
      <c r="U104" s="40"/>
      <c r="V104" s="40"/>
      <c r="W104" s="25">
        <v>7</v>
      </c>
      <c r="X104" s="25">
        <v>6</v>
      </c>
      <c r="Y104" s="25">
        <v>3</v>
      </c>
      <c r="Z104" s="16">
        <v>2</v>
      </c>
      <c r="AA104" s="16">
        <v>4</v>
      </c>
      <c r="AB104" s="30">
        <f t="shared" si="51"/>
        <v>-0.42857142857142855</v>
      </c>
      <c r="AC104" s="33">
        <f t="shared" si="52"/>
        <v>1.5810276679841896E-2</v>
      </c>
    </row>
    <row r="105" spans="1:29" x14ac:dyDescent="0.15">
      <c r="A105" s="8" t="s">
        <v>62</v>
      </c>
      <c r="B105" s="8" t="s">
        <v>195</v>
      </c>
      <c r="C105" s="8" t="s">
        <v>273</v>
      </c>
      <c r="D105" s="8" t="s">
        <v>274</v>
      </c>
      <c r="E105" s="8" t="s">
        <v>40</v>
      </c>
      <c r="F105" s="8" t="s">
        <v>23</v>
      </c>
      <c r="G105" s="9">
        <v>25943.83</v>
      </c>
      <c r="H105" s="43">
        <v>-11617.81</v>
      </c>
      <c r="I105" s="43">
        <v>14326.02</v>
      </c>
      <c r="J105" s="47"/>
      <c r="K105" s="47"/>
      <c r="L105" s="47"/>
      <c r="M105" s="58"/>
      <c r="N105" s="58"/>
      <c r="O105" s="58"/>
      <c r="P105" s="58"/>
      <c r="Q105" s="58"/>
      <c r="R105" s="58"/>
      <c r="S105" s="40"/>
      <c r="T105" s="40"/>
      <c r="U105" s="40"/>
      <c r="V105" s="40"/>
      <c r="W105" s="25">
        <v>11</v>
      </c>
      <c r="X105" s="25">
        <v>12</v>
      </c>
      <c r="Y105" s="25">
        <v>12</v>
      </c>
      <c r="Z105" s="16">
        <v>10</v>
      </c>
      <c r="AA105" s="16">
        <v>12</v>
      </c>
      <c r="AB105" s="21">
        <f t="shared" si="51"/>
        <v>9.0909090909090912E-2</v>
      </c>
      <c r="AC105" s="33">
        <f t="shared" si="52"/>
        <v>4.7430830039525688E-2</v>
      </c>
    </row>
    <row r="106" spans="1:29" x14ac:dyDescent="0.15">
      <c r="A106" s="8" t="s">
        <v>62</v>
      </c>
      <c r="B106" s="8" t="s">
        <v>195</v>
      </c>
      <c r="C106" s="8" t="s">
        <v>266</v>
      </c>
      <c r="D106" s="8" t="s">
        <v>267</v>
      </c>
      <c r="E106" s="8" t="s">
        <v>40</v>
      </c>
      <c r="F106" s="8" t="s">
        <v>23</v>
      </c>
      <c r="G106" s="9">
        <f>SUM(G107:G108)</f>
        <v>170357</v>
      </c>
      <c r="H106" s="43">
        <f t="shared" ref="H106:I106" si="53">SUM(H107:H108)</f>
        <v>-47362.799999999996</v>
      </c>
      <c r="I106" s="43">
        <f t="shared" si="53"/>
        <v>122994.2</v>
      </c>
      <c r="J106" s="47"/>
      <c r="K106" s="47"/>
      <c r="L106" s="47"/>
      <c r="M106" s="58"/>
      <c r="N106" s="58"/>
      <c r="O106" s="58"/>
      <c r="P106" s="58"/>
      <c r="Q106" s="58"/>
      <c r="R106" s="58"/>
      <c r="S106" s="40"/>
      <c r="T106" s="40"/>
      <c r="U106" s="40"/>
      <c r="V106" s="40"/>
      <c r="W106" s="25">
        <v>14</v>
      </c>
      <c r="X106" s="25">
        <v>11</v>
      </c>
      <c r="Y106" s="25">
        <v>5</v>
      </c>
      <c r="Z106" s="16">
        <v>4</v>
      </c>
      <c r="AA106" s="16">
        <v>9</v>
      </c>
      <c r="AB106" s="21">
        <f t="shared" si="51"/>
        <v>-0.35714285714285715</v>
      </c>
      <c r="AC106" s="33">
        <f t="shared" si="52"/>
        <v>3.5573122529644272E-2</v>
      </c>
    </row>
    <row r="107" spans="1:29" hidden="1" x14ac:dyDescent="0.15">
      <c r="A107" s="8" t="s">
        <v>62</v>
      </c>
      <c r="B107" s="8" t="s">
        <v>195</v>
      </c>
      <c r="C107" s="8" t="s">
        <v>266</v>
      </c>
      <c r="D107" s="8" t="s">
        <v>269</v>
      </c>
      <c r="E107" s="8" t="s">
        <v>40</v>
      </c>
      <c r="F107" s="8" t="s">
        <v>23</v>
      </c>
      <c r="G107" s="9">
        <v>87666.7</v>
      </c>
      <c r="H107" s="43">
        <v>-35413.699999999997</v>
      </c>
      <c r="I107" s="43">
        <v>52253</v>
      </c>
      <c r="J107" s="47"/>
      <c r="K107" s="47"/>
      <c r="L107" s="47"/>
      <c r="M107" s="58"/>
      <c r="N107" s="58"/>
      <c r="O107" s="58"/>
      <c r="P107" s="58"/>
      <c r="Q107" s="58"/>
      <c r="R107" s="58"/>
      <c r="S107" s="40"/>
      <c r="T107" s="40"/>
      <c r="U107" s="40"/>
      <c r="V107" s="40"/>
      <c r="W107" s="28"/>
      <c r="X107" s="28"/>
      <c r="Y107" s="28"/>
      <c r="Z107" s="28"/>
      <c r="AA107" s="28"/>
      <c r="AB107" s="21"/>
      <c r="AC107" s="33">
        <f t="shared" si="52"/>
        <v>0</v>
      </c>
    </row>
    <row r="108" spans="1:29" hidden="1" x14ac:dyDescent="0.15">
      <c r="A108" s="8" t="s">
        <v>62</v>
      </c>
      <c r="B108" s="8" t="s">
        <v>195</v>
      </c>
      <c r="C108" s="8" t="s">
        <v>266</v>
      </c>
      <c r="D108" s="8" t="s">
        <v>267</v>
      </c>
      <c r="E108" s="8" t="s">
        <v>40</v>
      </c>
      <c r="F108" s="8" t="s">
        <v>23</v>
      </c>
      <c r="G108" s="9">
        <v>82690.3</v>
      </c>
      <c r="H108" s="43">
        <v>-11949.1</v>
      </c>
      <c r="I108" s="43">
        <v>70741.2</v>
      </c>
      <c r="J108" s="47"/>
      <c r="K108" s="47"/>
      <c r="L108" s="47"/>
      <c r="M108" s="58"/>
      <c r="N108" s="58"/>
      <c r="O108" s="58"/>
      <c r="P108" s="58"/>
      <c r="Q108" s="58"/>
      <c r="R108" s="58"/>
      <c r="S108" s="40"/>
      <c r="T108" s="40"/>
      <c r="U108" s="40"/>
      <c r="V108" s="40"/>
      <c r="W108" s="29"/>
      <c r="X108" s="29"/>
      <c r="Y108" s="29"/>
      <c r="Z108" s="28"/>
      <c r="AA108" s="28"/>
      <c r="AB108" s="21"/>
      <c r="AC108" s="33">
        <f t="shared" si="52"/>
        <v>0</v>
      </c>
    </row>
    <row r="109" spans="1:29" x14ac:dyDescent="0.15">
      <c r="A109" s="8" t="s">
        <v>321</v>
      </c>
      <c r="B109" s="8" t="s">
        <v>322</v>
      </c>
      <c r="C109" s="8" t="s">
        <v>387</v>
      </c>
      <c r="D109" s="8" t="s">
        <v>388</v>
      </c>
      <c r="E109" s="8" t="s">
        <v>40</v>
      </c>
      <c r="F109" s="8" t="s">
        <v>23</v>
      </c>
      <c r="G109" s="9">
        <v>418650</v>
      </c>
      <c r="H109" s="43">
        <v>-128072.36</v>
      </c>
      <c r="I109" s="43">
        <v>290577.64</v>
      </c>
      <c r="J109" s="47"/>
      <c r="K109" s="47"/>
      <c r="L109" s="47"/>
      <c r="M109" s="58"/>
      <c r="N109" s="58"/>
      <c r="O109" s="58"/>
      <c r="P109" s="58"/>
      <c r="Q109" s="58"/>
      <c r="R109" s="58"/>
      <c r="S109" s="40"/>
      <c r="T109" s="40"/>
      <c r="U109" s="40"/>
      <c r="V109" s="40"/>
      <c r="W109" s="25">
        <v>35</v>
      </c>
      <c r="X109" s="25">
        <v>30</v>
      </c>
      <c r="Y109" s="16">
        <v>32</v>
      </c>
      <c r="Z109" s="16">
        <v>40</v>
      </c>
      <c r="AA109" s="16">
        <v>42</v>
      </c>
      <c r="AB109" s="21">
        <f t="shared" si="51"/>
        <v>0.2</v>
      </c>
      <c r="AC109" s="33">
        <f t="shared" si="52"/>
        <v>0.16600790513833993</v>
      </c>
    </row>
    <row r="110" spans="1:29" x14ac:dyDescent="0.15">
      <c r="A110" s="8" t="s">
        <v>321</v>
      </c>
      <c r="B110" s="8" t="s">
        <v>322</v>
      </c>
      <c r="C110" s="8" t="s">
        <v>408</v>
      </c>
      <c r="D110" s="8" t="s">
        <v>409</v>
      </c>
      <c r="E110" s="8" t="s">
        <v>40</v>
      </c>
      <c r="F110" s="8" t="s">
        <v>23</v>
      </c>
      <c r="G110" s="9">
        <v>323270.55</v>
      </c>
      <c r="H110" s="43">
        <v>-105804.5</v>
      </c>
      <c r="I110" s="43">
        <v>217466.05</v>
      </c>
      <c r="J110" s="47"/>
      <c r="K110" s="47"/>
      <c r="L110" s="47"/>
      <c r="M110" s="58"/>
      <c r="N110" s="58"/>
      <c r="O110" s="58"/>
      <c r="P110" s="58"/>
      <c r="Q110" s="58"/>
      <c r="R110" s="58"/>
      <c r="S110" s="40"/>
      <c r="T110" s="40"/>
      <c r="U110" s="40"/>
      <c r="V110" s="40"/>
      <c r="W110" s="25">
        <v>22</v>
      </c>
      <c r="X110" s="25">
        <v>28</v>
      </c>
      <c r="Y110" s="16">
        <v>28</v>
      </c>
      <c r="Z110" s="16">
        <v>31</v>
      </c>
      <c r="AA110" s="16">
        <v>25</v>
      </c>
      <c r="AB110" s="21">
        <f t="shared" si="51"/>
        <v>0.13636363636363635</v>
      </c>
      <c r="AC110" s="33">
        <f t="shared" si="52"/>
        <v>9.8814229249011856E-2</v>
      </c>
    </row>
    <row r="111" spans="1:29" x14ac:dyDescent="0.15">
      <c r="A111" s="8" t="s">
        <v>321</v>
      </c>
      <c r="B111" s="8" t="s">
        <v>322</v>
      </c>
      <c r="C111" s="8" t="s">
        <v>410</v>
      </c>
      <c r="D111" s="8" t="s">
        <v>411</v>
      </c>
      <c r="E111" s="8" t="s">
        <v>40</v>
      </c>
      <c r="F111" s="8" t="s">
        <v>23</v>
      </c>
      <c r="G111" s="9">
        <v>727473.27</v>
      </c>
      <c r="H111" s="43">
        <v>-235326.09</v>
      </c>
      <c r="I111" s="43">
        <v>492147.18</v>
      </c>
      <c r="J111" s="47"/>
      <c r="K111" s="47"/>
      <c r="L111" s="47"/>
      <c r="M111" s="58"/>
      <c r="N111" s="58"/>
      <c r="O111" s="58"/>
      <c r="P111" s="58"/>
      <c r="Q111" s="58"/>
      <c r="R111" s="58"/>
      <c r="S111" s="40"/>
      <c r="T111" s="40"/>
      <c r="U111" s="40"/>
      <c r="V111" s="40"/>
      <c r="W111" s="25">
        <v>60</v>
      </c>
      <c r="X111" s="25">
        <v>54</v>
      </c>
      <c r="Y111" s="16">
        <v>59</v>
      </c>
      <c r="Z111" s="16">
        <v>62</v>
      </c>
      <c r="AA111" s="16">
        <v>71</v>
      </c>
      <c r="AB111" s="21">
        <f t="shared" si="51"/>
        <v>0.18333333333333332</v>
      </c>
      <c r="AC111" s="33">
        <f t="shared" si="52"/>
        <v>0.28063241106719367</v>
      </c>
    </row>
    <row r="112" spans="1:29" x14ac:dyDescent="0.15">
      <c r="A112" s="8" t="s">
        <v>321</v>
      </c>
      <c r="B112" s="8" t="s">
        <v>322</v>
      </c>
      <c r="C112" s="8" t="s">
        <v>403</v>
      </c>
      <c r="D112" s="8" t="s">
        <v>404</v>
      </c>
      <c r="E112" s="8" t="s">
        <v>40</v>
      </c>
      <c r="F112" s="8" t="s">
        <v>23</v>
      </c>
      <c r="G112" s="9">
        <v>249009.9</v>
      </c>
      <c r="H112" s="43">
        <v>-57678.105000000003</v>
      </c>
      <c r="I112" s="43">
        <v>191331.79500000001</v>
      </c>
      <c r="J112" s="47"/>
      <c r="K112" s="47"/>
      <c r="L112" s="47"/>
      <c r="M112" s="58"/>
      <c r="N112" s="58"/>
      <c r="O112" s="58"/>
      <c r="P112" s="58"/>
      <c r="Q112" s="58"/>
      <c r="R112" s="58"/>
      <c r="S112" s="40"/>
      <c r="T112" s="40"/>
      <c r="U112" s="40"/>
      <c r="V112" s="40"/>
      <c r="W112" s="25">
        <v>34</v>
      </c>
      <c r="X112" s="25">
        <v>37</v>
      </c>
      <c r="Y112" s="16">
        <v>41</v>
      </c>
      <c r="Z112" s="16">
        <v>40</v>
      </c>
      <c r="AA112" s="16">
        <v>33</v>
      </c>
      <c r="AB112" s="21">
        <f t="shared" si="51"/>
        <v>-2.9411764705882353E-2</v>
      </c>
      <c r="AC112" s="33">
        <f t="shared" si="52"/>
        <v>0.13043478260869565</v>
      </c>
    </row>
    <row r="113" spans="1:30" x14ac:dyDescent="0.15">
      <c r="A113" s="36" t="s">
        <v>321</v>
      </c>
      <c r="B113" s="36" t="s">
        <v>322</v>
      </c>
      <c r="C113" s="36" t="s">
        <v>477</v>
      </c>
      <c r="D113" s="36" t="s">
        <v>478</v>
      </c>
      <c r="E113" s="36" t="s">
        <v>40</v>
      </c>
      <c r="F113" s="36" t="s">
        <v>23</v>
      </c>
      <c r="G113" s="37">
        <v>4088.4</v>
      </c>
      <c r="H113" s="49"/>
      <c r="I113" s="49">
        <v>4088.4</v>
      </c>
      <c r="J113" s="47"/>
      <c r="K113" s="47"/>
      <c r="L113" s="47"/>
      <c r="M113" s="58"/>
      <c r="N113" s="58"/>
      <c r="O113" s="58"/>
      <c r="P113" s="58"/>
      <c r="Q113" s="58"/>
      <c r="R113" s="58"/>
      <c r="S113" s="40"/>
      <c r="T113" s="40"/>
      <c r="U113" s="40"/>
      <c r="V113" s="40"/>
      <c r="W113" s="35">
        <v>5</v>
      </c>
      <c r="X113" s="35">
        <v>5</v>
      </c>
      <c r="Y113" s="35">
        <v>7</v>
      </c>
      <c r="Z113" s="35">
        <v>5</v>
      </c>
      <c r="AA113" s="35">
        <v>4</v>
      </c>
      <c r="AB113" s="21">
        <f t="shared" si="51"/>
        <v>-0.2</v>
      </c>
      <c r="AC113" s="33">
        <f t="shared" si="52"/>
        <v>1.5810276679841896E-2</v>
      </c>
    </row>
    <row r="114" spans="1:30" x14ac:dyDescent="0.15">
      <c r="A114" s="5"/>
      <c r="B114" s="5" t="s">
        <v>0</v>
      </c>
      <c r="C114" s="5" t="s">
        <v>0</v>
      </c>
      <c r="D114" s="5" t="s">
        <v>0</v>
      </c>
      <c r="E114" s="5" t="s">
        <v>44</v>
      </c>
      <c r="F114" s="5" t="s">
        <v>23</v>
      </c>
      <c r="G114" s="6">
        <v>3624614.87</v>
      </c>
      <c r="H114" s="42">
        <v>-1852624.41</v>
      </c>
      <c r="I114" s="42">
        <v>1771990.46</v>
      </c>
      <c r="J114" s="42">
        <f>1659491.65+30109</f>
        <v>1689600.65</v>
      </c>
      <c r="K114" s="42">
        <f>-723436.910401548-211</f>
        <v>-723647.91040154803</v>
      </c>
      <c r="L114" s="42">
        <f>+J114+K114</f>
        <v>965952.73959845188</v>
      </c>
      <c r="M114" s="57">
        <f>-2558562.14</f>
        <v>-2558562.14</v>
      </c>
      <c r="N114" s="57">
        <v>-1105.06</v>
      </c>
      <c r="O114" s="57">
        <f>-1095-197151.89-28256.16</f>
        <v>-226503.05000000002</v>
      </c>
      <c r="P114" s="57"/>
      <c r="Q114" s="57">
        <f>-190201.6-23360.05</f>
        <v>-213561.65</v>
      </c>
      <c r="R114" s="57">
        <f>+Q114+M114</f>
        <v>-2772123.79</v>
      </c>
      <c r="S114" s="39">
        <f>+I114+R114</f>
        <v>-1000133.3300000001</v>
      </c>
      <c r="T114" s="39">
        <f>+L114+R114</f>
        <v>-1806171.0504015482</v>
      </c>
      <c r="U114" s="39">
        <f>+I114+M114</f>
        <v>-786571.68000000017</v>
      </c>
      <c r="V114" s="39">
        <f>+L114+M114</f>
        <v>-1592609.4004015482</v>
      </c>
      <c r="W114" s="15">
        <f>SUM(W116:W146)</f>
        <v>260</v>
      </c>
      <c r="X114" s="15">
        <f t="shared" ref="X114:AA114" si="54">SUM(X116:X146)</f>
        <v>277</v>
      </c>
      <c r="Y114" s="15">
        <f t="shared" si="54"/>
        <v>285</v>
      </c>
      <c r="Z114" s="15">
        <f t="shared" si="54"/>
        <v>292</v>
      </c>
      <c r="AA114" s="15">
        <f t="shared" si="54"/>
        <v>292</v>
      </c>
      <c r="AB114" s="19">
        <f>+(AA114-W114)/W114</f>
        <v>0.12307692307692308</v>
      </c>
    </row>
    <row r="115" spans="1:30" x14ac:dyDescent="0.15">
      <c r="A115" s="8" t="s">
        <v>62</v>
      </c>
      <c r="B115" s="8" t="s">
        <v>148</v>
      </c>
      <c r="C115" s="8" t="s">
        <v>174</v>
      </c>
      <c r="D115" s="8" t="s">
        <v>476</v>
      </c>
      <c r="E115" s="8" t="s">
        <v>44</v>
      </c>
      <c r="F115" s="8" t="s">
        <v>23</v>
      </c>
      <c r="G115" s="9">
        <f>SUM(G116:G118)</f>
        <v>132007.6</v>
      </c>
      <c r="H115" s="43">
        <f t="shared" ref="H115:I115" si="55">SUM(H116:H118)</f>
        <v>-121221.1</v>
      </c>
      <c r="I115" s="43">
        <f t="shared" si="55"/>
        <v>10786.5</v>
      </c>
      <c r="J115" s="47"/>
      <c r="K115" s="47"/>
      <c r="L115" s="47"/>
      <c r="M115" s="58"/>
      <c r="N115" s="58"/>
      <c r="O115" s="58"/>
      <c r="P115" s="58"/>
      <c r="Q115" s="58"/>
      <c r="R115" s="58"/>
      <c r="S115" s="40"/>
      <c r="T115" s="40"/>
      <c r="U115" s="40"/>
      <c r="V115" s="40"/>
      <c r="W115" s="16">
        <v>9</v>
      </c>
      <c r="X115" s="16">
        <v>13</v>
      </c>
      <c r="Y115" s="16">
        <v>20</v>
      </c>
      <c r="Z115" s="16">
        <v>15</v>
      </c>
      <c r="AA115" s="16">
        <v>14</v>
      </c>
      <c r="AB115" s="21">
        <f t="shared" ref="AB115" si="56">+(AA115-W115)/W115</f>
        <v>0.55555555555555558</v>
      </c>
      <c r="AC115" s="33">
        <f>+AA115/AA114</f>
        <v>4.7945205479452052E-2</v>
      </c>
    </row>
    <row r="116" spans="1:30" hidden="1" x14ac:dyDescent="0.15">
      <c r="A116" s="8" t="s">
        <v>62</v>
      </c>
      <c r="B116" s="8" t="s">
        <v>148</v>
      </c>
      <c r="C116" s="8" t="s">
        <v>174</v>
      </c>
      <c r="D116" s="8" t="s">
        <v>175</v>
      </c>
      <c r="E116" s="8" t="s">
        <v>44</v>
      </c>
      <c r="F116" s="8" t="s">
        <v>23</v>
      </c>
      <c r="G116" s="9">
        <v>86861.8</v>
      </c>
      <c r="H116" s="43">
        <v>-81382.600000000006</v>
      </c>
      <c r="I116" s="43">
        <v>5479.2</v>
      </c>
      <c r="J116" s="47"/>
      <c r="K116" s="47"/>
      <c r="L116" s="47"/>
      <c r="M116" s="58"/>
      <c r="N116" s="58"/>
      <c r="O116" s="58"/>
      <c r="P116" s="58"/>
      <c r="Q116" s="58"/>
      <c r="R116" s="58"/>
      <c r="S116" s="40"/>
      <c r="T116" s="40"/>
      <c r="U116" s="40"/>
      <c r="V116" s="40"/>
      <c r="W116" s="16"/>
      <c r="X116" s="16"/>
      <c r="Y116" s="16"/>
      <c r="Z116" s="16"/>
      <c r="AA116" s="16"/>
      <c r="AB116" s="21"/>
      <c r="AC116" s="33">
        <f>+AA116/AA114</f>
        <v>0</v>
      </c>
      <c r="AD116" s="23"/>
    </row>
    <row r="117" spans="1:30" hidden="1" x14ac:dyDescent="0.15">
      <c r="A117" s="8" t="s">
        <v>62</v>
      </c>
      <c r="B117" s="8" t="s">
        <v>148</v>
      </c>
      <c r="C117" s="8" t="s">
        <v>174</v>
      </c>
      <c r="D117" s="8" t="s">
        <v>176</v>
      </c>
      <c r="E117" s="8" t="s">
        <v>44</v>
      </c>
      <c r="F117" s="8" t="s">
        <v>23</v>
      </c>
      <c r="G117" s="9">
        <v>19576.8</v>
      </c>
      <c r="H117" s="43">
        <v>-16091.4</v>
      </c>
      <c r="I117" s="43">
        <v>3485.4</v>
      </c>
      <c r="J117" s="47"/>
      <c r="K117" s="47"/>
      <c r="L117" s="47"/>
      <c r="M117" s="58"/>
      <c r="N117" s="58"/>
      <c r="O117" s="58"/>
      <c r="P117" s="58"/>
      <c r="Q117" s="58"/>
      <c r="R117" s="58"/>
      <c r="S117" s="40"/>
      <c r="T117" s="40"/>
      <c r="U117" s="40"/>
      <c r="V117" s="40"/>
      <c r="W117" s="16"/>
      <c r="X117" s="16"/>
      <c r="Y117" s="16"/>
      <c r="Z117" s="16"/>
      <c r="AA117" s="16"/>
      <c r="AB117" s="21"/>
      <c r="AC117" s="33" t="s">
        <v>467</v>
      </c>
      <c r="AD117" s="24"/>
    </row>
    <row r="118" spans="1:30" hidden="1" x14ac:dyDescent="0.15">
      <c r="A118" s="8" t="s">
        <v>62</v>
      </c>
      <c r="B118" s="8" t="s">
        <v>148</v>
      </c>
      <c r="C118" s="8" t="s">
        <v>174</v>
      </c>
      <c r="D118" s="8" t="s">
        <v>177</v>
      </c>
      <c r="E118" s="8" t="s">
        <v>44</v>
      </c>
      <c r="F118" s="8" t="s">
        <v>23</v>
      </c>
      <c r="G118" s="9">
        <v>25569</v>
      </c>
      <c r="H118" s="43">
        <v>-23747.1</v>
      </c>
      <c r="I118" s="43">
        <v>1821.9</v>
      </c>
      <c r="J118" s="47"/>
      <c r="K118" s="47"/>
      <c r="L118" s="47"/>
      <c r="M118" s="58"/>
      <c r="N118" s="58"/>
      <c r="O118" s="58"/>
      <c r="P118" s="58"/>
      <c r="Q118" s="58"/>
      <c r="R118" s="58"/>
      <c r="S118" s="40"/>
      <c r="T118" s="40"/>
      <c r="U118" s="40"/>
      <c r="V118" s="40"/>
      <c r="W118" s="16"/>
      <c r="X118" s="16"/>
      <c r="Y118" s="16"/>
      <c r="Z118" s="16"/>
      <c r="AA118" s="16"/>
      <c r="AB118" s="21"/>
    </row>
    <row r="119" spans="1:30" ht="15.75" customHeight="1" x14ac:dyDescent="0.15">
      <c r="A119" s="8" t="s">
        <v>62</v>
      </c>
      <c r="B119" s="8" t="s">
        <v>117</v>
      </c>
      <c r="C119" s="8" t="s">
        <v>118</v>
      </c>
      <c r="D119" s="8" t="s">
        <v>475</v>
      </c>
      <c r="E119" s="8" t="s">
        <v>44</v>
      </c>
      <c r="F119" s="8" t="s">
        <v>23</v>
      </c>
      <c r="G119" s="9">
        <f>SUM(G120:G121)</f>
        <v>45679.199999999997</v>
      </c>
      <c r="H119" s="43">
        <f t="shared" ref="H119" si="57">SUM(H120:H121)</f>
        <v>-43113</v>
      </c>
      <c r="I119" s="43">
        <f t="shared" ref="I119" si="58">SUM(I120:I121)</f>
        <v>2566.1999999999998</v>
      </c>
      <c r="J119" s="47"/>
      <c r="K119" s="47"/>
      <c r="L119" s="47"/>
      <c r="M119" s="58"/>
      <c r="N119" s="58"/>
      <c r="O119" s="58"/>
      <c r="P119" s="58"/>
      <c r="Q119" s="58"/>
      <c r="R119" s="58"/>
      <c r="S119" s="40"/>
      <c r="T119" s="40"/>
      <c r="U119" s="40"/>
      <c r="V119" s="40"/>
      <c r="W119" s="25">
        <v>8</v>
      </c>
      <c r="X119" s="25">
        <v>10</v>
      </c>
      <c r="Y119" s="25">
        <v>10</v>
      </c>
      <c r="Z119" s="16">
        <v>8</v>
      </c>
      <c r="AA119" s="16">
        <v>3</v>
      </c>
      <c r="AB119" s="30">
        <f>+(AA119-W119)/W119</f>
        <v>-0.625</v>
      </c>
      <c r="AC119" s="33">
        <f>+AA119/$AA$114</f>
        <v>1.0273972602739725E-2</v>
      </c>
    </row>
    <row r="120" spans="1:30" hidden="1" x14ac:dyDescent="0.15">
      <c r="A120" s="8" t="s">
        <v>62</v>
      </c>
      <c r="B120" s="8" t="s">
        <v>117</v>
      </c>
      <c r="C120" s="8" t="s">
        <v>118</v>
      </c>
      <c r="D120" s="8" t="s">
        <v>119</v>
      </c>
      <c r="E120" s="8" t="s">
        <v>44</v>
      </c>
      <c r="F120" s="8" t="s">
        <v>23</v>
      </c>
      <c r="G120" s="9">
        <v>17401.599999999999</v>
      </c>
      <c r="H120" s="43">
        <v>-16424</v>
      </c>
      <c r="I120" s="43">
        <v>977.6</v>
      </c>
      <c r="J120" s="47"/>
      <c r="K120" s="47"/>
      <c r="L120" s="47"/>
      <c r="M120" s="58"/>
      <c r="N120" s="58"/>
      <c r="O120" s="58"/>
      <c r="P120" s="58"/>
      <c r="Q120" s="58"/>
      <c r="R120" s="58"/>
      <c r="S120" s="40"/>
      <c r="T120" s="40"/>
      <c r="U120" s="40"/>
      <c r="V120" s="40"/>
      <c r="W120" s="25"/>
      <c r="X120" s="25"/>
      <c r="Y120" s="25"/>
      <c r="Z120" s="16"/>
      <c r="AA120" s="16"/>
      <c r="AB120" s="21"/>
    </row>
    <row r="121" spans="1:30" hidden="1" x14ac:dyDescent="0.15">
      <c r="A121" s="8" t="s">
        <v>62</v>
      </c>
      <c r="B121" s="8" t="s">
        <v>117</v>
      </c>
      <c r="C121" s="8" t="s">
        <v>118</v>
      </c>
      <c r="D121" s="8" t="s">
        <v>120</v>
      </c>
      <c r="E121" s="8" t="s">
        <v>44</v>
      </c>
      <c r="F121" s="8" t="s">
        <v>23</v>
      </c>
      <c r="G121" s="9">
        <v>28277.599999999999</v>
      </c>
      <c r="H121" s="43">
        <v>-26689</v>
      </c>
      <c r="I121" s="43">
        <v>1588.6</v>
      </c>
      <c r="J121" s="47"/>
      <c r="K121" s="47"/>
      <c r="L121" s="47"/>
      <c r="M121" s="58"/>
      <c r="N121" s="58"/>
      <c r="O121" s="58"/>
      <c r="P121" s="58"/>
      <c r="Q121" s="58"/>
      <c r="R121" s="58"/>
      <c r="S121" s="40"/>
      <c r="T121" s="40"/>
      <c r="U121" s="40"/>
      <c r="V121" s="40"/>
      <c r="W121" s="16"/>
      <c r="X121" s="16"/>
      <c r="Y121" s="16"/>
      <c r="Z121" s="16"/>
      <c r="AA121" s="16"/>
      <c r="AB121" s="21"/>
    </row>
    <row r="122" spans="1:30" x14ac:dyDescent="0.15">
      <c r="A122" s="8" t="s">
        <v>62</v>
      </c>
      <c r="B122" s="8" t="s">
        <v>195</v>
      </c>
      <c r="C122" s="8" t="s">
        <v>216</v>
      </c>
      <c r="D122" s="8" t="s">
        <v>474</v>
      </c>
      <c r="E122" s="8" t="s">
        <v>44</v>
      </c>
      <c r="F122" s="8" t="s">
        <v>23</v>
      </c>
      <c r="G122" s="9">
        <f>SUM(G123:G124)</f>
        <v>81554.8</v>
      </c>
      <c r="H122" s="43">
        <f t="shared" ref="H122" si="59">SUM(H123:H124)</f>
        <v>-60636.1</v>
      </c>
      <c r="I122" s="43">
        <f t="shared" ref="I122" si="60">SUM(I123:I124)</f>
        <v>20918.7</v>
      </c>
      <c r="J122" s="47"/>
      <c r="K122" s="47"/>
      <c r="L122" s="47"/>
      <c r="M122" s="58"/>
      <c r="N122" s="58"/>
      <c r="O122" s="58"/>
      <c r="P122" s="58"/>
      <c r="Q122" s="58"/>
      <c r="R122" s="58"/>
      <c r="S122" s="40"/>
      <c r="T122" s="40"/>
      <c r="U122" s="40"/>
      <c r="V122" s="40"/>
      <c r="W122" s="25">
        <v>2</v>
      </c>
      <c r="X122" s="25">
        <v>3</v>
      </c>
      <c r="Y122" s="25">
        <v>4</v>
      </c>
      <c r="Z122" s="16">
        <v>3</v>
      </c>
      <c r="AA122" s="16">
        <v>5</v>
      </c>
      <c r="AB122" s="21">
        <f t="shared" ref="AB122" si="61">+(AA122-W122)/W122</f>
        <v>1.5</v>
      </c>
      <c r="AC122" s="33">
        <f t="shared" ref="AC122:AC143" si="62">+AA122/$AA$114</f>
        <v>1.7123287671232876E-2</v>
      </c>
    </row>
    <row r="123" spans="1:30" hidden="1" x14ac:dyDescent="0.15">
      <c r="A123" s="8" t="s">
        <v>62</v>
      </c>
      <c r="B123" s="8" t="s">
        <v>195</v>
      </c>
      <c r="C123" s="8" t="s">
        <v>216</v>
      </c>
      <c r="D123" s="8" t="s">
        <v>217</v>
      </c>
      <c r="E123" s="8" t="s">
        <v>44</v>
      </c>
      <c r="F123" s="8" t="s">
        <v>23</v>
      </c>
      <c r="G123" s="9">
        <v>60890.400000000001</v>
      </c>
      <c r="H123" s="43">
        <v>-41132.6</v>
      </c>
      <c r="I123" s="43">
        <v>19757.8</v>
      </c>
      <c r="J123" s="47"/>
      <c r="K123" s="47"/>
      <c r="L123" s="47"/>
      <c r="M123" s="58"/>
      <c r="N123" s="58"/>
      <c r="O123" s="58"/>
      <c r="P123" s="58"/>
      <c r="Q123" s="58"/>
      <c r="R123" s="58"/>
      <c r="S123" s="40"/>
      <c r="T123" s="40"/>
      <c r="U123" s="40"/>
      <c r="V123" s="40"/>
      <c r="W123" s="25"/>
      <c r="X123" s="25"/>
      <c r="Y123" s="25"/>
      <c r="Z123" s="16"/>
      <c r="AA123" s="16"/>
      <c r="AB123" s="21"/>
      <c r="AC123" s="33">
        <f t="shared" si="62"/>
        <v>0</v>
      </c>
    </row>
    <row r="124" spans="1:30" hidden="1" x14ac:dyDescent="0.15">
      <c r="A124" s="8" t="s">
        <v>62</v>
      </c>
      <c r="B124" s="8" t="s">
        <v>195</v>
      </c>
      <c r="C124" s="8" t="s">
        <v>216</v>
      </c>
      <c r="D124" s="8" t="s">
        <v>218</v>
      </c>
      <c r="E124" s="8" t="s">
        <v>44</v>
      </c>
      <c r="F124" s="8" t="s">
        <v>23</v>
      </c>
      <c r="G124" s="9">
        <v>20664.400000000001</v>
      </c>
      <c r="H124" s="43">
        <v>-19503.5</v>
      </c>
      <c r="I124" s="43">
        <v>1160.9000000000001</v>
      </c>
      <c r="J124" s="47"/>
      <c r="K124" s="47"/>
      <c r="L124" s="47"/>
      <c r="M124" s="58"/>
      <c r="N124" s="58"/>
      <c r="O124" s="58"/>
      <c r="P124" s="58"/>
      <c r="Q124" s="58"/>
      <c r="R124" s="58"/>
      <c r="S124" s="40"/>
      <c r="T124" s="40"/>
      <c r="U124" s="40"/>
      <c r="V124" s="40"/>
      <c r="W124" s="16"/>
      <c r="X124" s="16"/>
      <c r="Y124" s="16"/>
      <c r="Z124" s="16"/>
      <c r="AA124" s="16"/>
      <c r="AB124" s="21"/>
      <c r="AC124" s="33">
        <f t="shared" si="62"/>
        <v>0</v>
      </c>
    </row>
    <row r="125" spans="1:30" x14ac:dyDescent="0.15">
      <c r="A125" s="8" t="s">
        <v>62</v>
      </c>
      <c r="B125" s="8" t="s">
        <v>195</v>
      </c>
      <c r="C125" s="8" t="s">
        <v>266</v>
      </c>
      <c r="D125" s="8" t="s">
        <v>473</v>
      </c>
      <c r="E125" s="8" t="s">
        <v>44</v>
      </c>
      <c r="F125" s="8" t="s">
        <v>23</v>
      </c>
      <c r="G125" s="9">
        <f>SUM(G126:G127)</f>
        <v>54696.1</v>
      </c>
      <c r="H125" s="43">
        <f t="shared" ref="H125" si="63">SUM(H126:H127)</f>
        <v>-5373.4</v>
      </c>
      <c r="I125" s="43">
        <f t="shared" ref="I125" si="64">SUM(I126:I127)</f>
        <v>49322.7</v>
      </c>
      <c r="J125" s="47"/>
      <c r="K125" s="47"/>
      <c r="L125" s="47"/>
      <c r="M125" s="58"/>
      <c r="N125" s="58"/>
      <c r="O125" s="58"/>
      <c r="P125" s="58"/>
      <c r="Q125" s="58"/>
      <c r="R125" s="58"/>
      <c r="S125" s="40"/>
      <c r="T125" s="40"/>
      <c r="U125" s="40"/>
      <c r="V125" s="40"/>
      <c r="W125" s="16">
        <v>13</v>
      </c>
      <c r="X125" s="16">
        <v>16</v>
      </c>
      <c r="Y125" s="16">
        <v>19</v>
      </c>
      <c r="Z125" s="16">
        <v>13</v>
      </c>
      <c r="AA125" s="16">
        <v>18</v>
      </c>
      <c r="AB125" s="21">
        <f t="shared" ref="AB125" si="65">+(AA125-W125)/W125</f>
        <v>0.38461538461538464</v>
      </c>
      <c r="AC125" s="33">
        <f t="shared" si="62"/>
        <v>6.1643835616438353E-2</v>
      </c>
    </row>
    <row r="126" spans="1:30" hidden="1" x14ac:dyDescent="0.15">
      <c r="A126" s="8" t="s">
        <v>62</v>
      </c>
      <c r="B126" s="8" t="s">
        <v>195</v>
      </c>
      <c r="C126" s="8" t="s">
        <v>266</v>
      </c>
      <c r="D126" s="8" t="s">
        <v>268</v>
      </c>
      <c r="E126" s="8" t="s">
        <v>44</v>
      </c>
      <c r="F126" s="8" t="s">
        <v>23</v>
      </c>
      <c r="G126" s="9">
        <v>28754.5</v>
      </c>
      <c r="H126" s="43">
        <v>-5373.4</v>
      </c>
      <c r="I126" s="43">
        <v>23381.1</v>
      </c>
      <c r="J126" s="47"/>
      <c r="K126" s="47"/>
      <c r="L126" s="47"/>
      <c r="M126" s="58"/>
      <c r="N126" s="58"/>
      <c r="O126" s="58"/>
      <c r="P126" s="58"/>
      <c r="Q126" s="58"/>
      <c r="R126" s="58"/>
      <c r="S126" s="40"/>
      <c r="T126" s="40"/>
      <c r="U126" s="40"/>
      <c r="V126" s="40"/>
      <c r="W126" s="16"/>
      <c r="X126" s="16"/>
      <c r="Y126" s="16"/>
      <c r="Z126" s="16"/>
      <c r="AA126" s="16"/>
      <c r="AB126" s="21"/>
      <c r="AC126" s="33">
        <f t="shared" si="62"/>
        <v>0</v>
      </c>
    </row>
    <row r="127" spans="1:30" hidden="1" x14ac:dyDescent="0.15">
      <c r="A127" s="8" t="s">
        <v>62</v>
      </c>
      <c r="B127" s="8" t="s">
        <v>195</v>
      </c>
      <c r="C127" s="8" t="s">
        <v>266</v>
      </c>
      <c r="D127" s="8" t="s">
        <v>270</v>
      </c>
      <c r="E127" s="8" t="s">
        <v>44</v>
      </c>
      <c r="F127" s="8" t="s">
        <v>23</v>
      </c>
      <c r="G127" s="9">
        <v>25941.599999999999</v>
      </c>
      <c r="H127" s="43"/>
      <c r="I127" s="43">
        <v>25941.599999999999</v>
      </c>
      <c r="J127" s="47"/>
      <c r="K127" s="47"/>
      <c r="L127" s="47"/>
      <c r="M127" s="58"/>
      <c r="N127" s="58"/>
      <c r="O127" s="58"/>
      <c r="P127" s="58"/>
      <c r="Q127" s="58"/>
      <c r="R127" s="58"/>
      <c r="S127" s="40"/>
      <c r="T127" s="40"/>
      <c r="U127" s="40"/>
      <c r="V127" s="40"/>
      <c r="W127" s="16"/>
      <c r="X127" s="16"/>
      <c r="Y127" s="16"/>
      <c r="Z127" s="16"/>
      <c r="AA127" s="16"/>
      <c r="AB127" s="21"/>
      <c r="AC127" s="33">
        <f t="shared" si="62"/>
        <v>0</v>
      </c>
    </row>
    <row r="128" spans="1:30" x14ac:dyDescent="0.15">
      <c r="A128" s="8" t="s">
        <v>62</v>
      </c>
      <c r="B128" s="8" t="s">
        <v>148</v>
      </c>
      <c r="C128" s="8" t="s">
        <v>186</v>
      </c>
      <c r="D128" s="8" t="s">
        <v>472</v>
      </c>
      <c r="E128" s="8" t="s">
        <v>44</v>
      </c>
      <c r="F128" s="8" t="s">
        <v>23</v>
      </c>
      <c r="G128" s="9">
        <f>SUM(G129:G130)</f>
        <v>38576.1</v>
      </c>
      <c r="H128" s="43">
        <f t="shared" ref="H128:I128" si="66">SUM(H129:H130)</f>
        <v>-18848.599999999999</v>
      </c>
      <c r="I128" s="43">
        <f t="shared" si="66"/>
        <v>19727.5</v>
      </c>
      <c r="J128" s="47"/>
      <c r="K128" s="47"/>
      <c r="L128" s="47"/>
      <c r="M128" s="58"/>
      <c r="N128" s="58"/>
      <c r="O128" s="58"/>
      <c r="P128" s="58"/>
      <c r="Q128" s="58"/>
      <c r="R128" s="58"/>
      <c r="S128" s="40"/>
      <c r="T128" s="40"/>
      <c r="U128" s="40"/>
      <c r="V128" s="40"/>
      <c r="W128" s="25">
        <v>6</v>
      </c>
      <c r="X128" s="25">
        <v>5</v>
      </c>
      <c r="Y128" s="25">
        <v>6</v>
      </c>
      <c r="Z128" s="16">
        <v>3</v>
      </c>
      <c r="AA128" s="16">
        <v>4</v>
      </c>
      <c r="AB128" s="30">
        <f t="shared" ref="AB128" si="67">+(AA128-W128)/W128</f>
        <v>-0.33333333333333331</v>
      </c>
      <c r="AC128" s="33">
        <f t="shared" si="62"/>
        <v>1.3698630136986301E-2</v>
      </c>
    </row>
    <row r="129" spans="1:29" hidden="1" x14ac:dyDescent="0.15">
      <c r="A129" s="8" t="s">
        <v>62</v>
      </c>
      <c r="B129" s="8" t="s">
        <v>148</v>
      </c>
      <c r="C129" s="8" t="s">
        <v>186</v>
      </c>
      <c r="D129" s="8" t="s">
        <v>187</v>
      </c>
      <c r="E129" s="8" t="s">
        <v>44</v>
      </c>
      <c r="F129" s="8" t="s">
        <v>23</v>
      </c>
      <c r="G129" s="9">
        <v>9838.4</v>
      </c>
      <c r="H129" s="43">
        <v>-4802.5</v>
      </c>
      <c r="I129" s="43">
        <v>5035.8999999999996</v>
      </c>
      <c r="J129" s="47"/>
      <c r="K129" s="47"/>
      <c r="L129" s="47"/>
      <c r="M129" s="58"/>
      <c r="N129" s="58"/>
      <c r="O129" s="58"/>
      <c r="P129" s="58"/>
      <c r="Q129" s="58"/>
      <c r="R129" s="58"/>
      <c r="S129" s="40"/>
      <c r="T129" s="40"/>
      <c r="U129" s="40"/>
      <c r="V129" s="40"/>
      <c r="W129" s="25"/>
      <c r="X129" s="25"/>
      <c r="Y129" s="25"/>
      <c r="Z129" s="16"/>
      <c r="AA129" s="16"/>
      <c r="AB129" s="30"/>
      <c r="AC129" s="33">
        <f t="shared" si="62"/>
        <v>0</v>
      </c>
    </row>
    <row r="130" spans="1:29" hidden="1" x14ac:dyDescent="0.15">
      <c r="A130" s="8" t="s">
        <v>62</v>
      </c>
      <c r="B130" s="8" t="s">
        <v>148</v>
      </c>
      <c r="C130" s="8" t="s">
        <v>186</v>
      </c>
      <c r="D130" s="8" t="s">
        <v>188</v>
      </c>
      <c r="E130" s="8" t="s">
        <v>44</v>
      </c>
      <c r="F130" s="8" t="s">
        <v>23</v>
      </c>
      <c r="G130" s="9">
        <v>28737.7</v>
      </c>
      <c r="H130" s="43">
        <v>-14046.1</v>
      </c>
      <c r="I130" s="43">
        <v>14691.6</v>
      </c>
      <c r="J130" s="47"/>
      <c r="K130" s="47"/>
      <c r="L130" s="47"/>
      <c r="M130" s="58"/>
      <c r="N130" s="58"/>
      <c r="O130" s="58"/>
      <c r="P130" s="58"/>
      <c r="Q130" s="58"/>
      <c r="R130" s="58"/>
      <c r="S130" s="40"/>
      <c r="T130" s="40"/>
      <c r="U130" s="40"/>
      <c r="V130" s="40"/>
      <c r="W130" s="16"/>
      <c r="X130" s="16"/>
      <c r="Y130" s="16"/>
      <c r="Z130" s="16"/>
      <c r="AA130" s="16"/>
      <c r="AB130" s="30"/>
      <c r="AC130" s="33">
        <f t="shared" si="62"/>
        <v>0</v>
      </c>
    </row>
    <row r="131" spans="1:29" x14ac:dyDescent="0.15">
      <c r="A131" s="8" t="s">
        <v>62</v>
      </c>
      <c r="B131" s="8" t="s">
        <v>117</v>
      </c>
      <c r="C131" s="8" t="s">
        <v>133</v>
      </c>
      <c r="D131" s="8" t="s">
        <v>471</v>
      </c>
      <c r="E131" s="8" t="s">
        <v>44</v>
      </c>
      <c r="F131" s="8" t="s">
        <v>23</v>
      </c>
      <c r="G131" s="9">
        <f>SUM(G132:G134)</f>
        <v>890476.5</v>
      </c>
      <c r="H131" s="43">
        <f t="shared" ref="H131" si="68">SUM(H132:H134)</f>
        <v>-556822.75</v>
      </c>
      <c r="I131" s="43">
        <f t="shared" ref="I131" si="69">SUM(I132:I134)</f>
        <v>333653.75</v>
      </c>
      <c r="J131" s="47"/>
      <c r="K131" s="47"/>
      <c r="L131" s="47"/>
      <c r="M131" s="58"/>
      <c r="N131" s="58"/>
      <c r="O131" s="58"/>
      <c r="P131" s="58"/>
      <c r="Q131" s="58"/>
      <c r="R131" s="58"/>
      <c r="S131" s="40"/>
      <c r="T131" s="40"/>
      <c r="U131" s="40"/>
      <c r="V131" s="40"/>
      <c r="W131" s="25">
        <v>76</v>
      </c>
      <c r="X131" s="25">
        <v>74</v>
      </c>
      <c r="Y131" s="25">
        <v>70</v>
      </c>
      <c r="Z131" s="16">
        <v>73</v>
      </c>
      <c r="AA131" s="16">
        <v>71</v>
      </c>
      <c r="AB131" s="30">
        <f t="shared" ref="AB131" si="70">+(AA131-W131)/W131</f>
        <v>-6.5789473684210523E-2</v>
      </c>
      <c r="AC131" s="33">
        <f t="shared" si="62"/>
        <v>0.24315068493150685</v>
      </c>
    </row>
    <row r="132" spans="1:29" hidden="1" x14ac:dyDescent="0.15">
      <c r="A132" s="8" t="s">
        <v>62</v>
      </c>
      <c r="B132" s="8" t="s">
        <v>117</v>
      </c>
      <c r="C132" s="8" t="s">
        <v>133</v>
      </c>
      <c r="D132" s="8" t="s">
        <v>134</v>
      </c>
      <c r="E132" s="8" t="s">
        <v>44</v>
      </c>
      <c r="F132" s="8" t="s">
        <v>23</v>
      </c>
      <c r="G132" s="9">
        <v>515985.2</v>
      </c>
      <c r="H132" s="43">
        <v>-339285.35</v>
      </c>
      <c r="I132" s="43">
        <v>176699.85</v>
      </c>
      <c r="J132" s="47"/>
      <c r="K132" s="47"/>
      <c r="L132" s="47"/>
      <c r="M132" s="58"/>
      <c r="N132" s="58"/>
      <c r="O132" s="58"/>
      <c r="P132" s="58"/>
      <c r="Q132" s="58"/>
      <c r="R132" s="58"/>
      <c r="S132" s="40"/>
      <c r="T132" s="40"/>
      <c r="U132" s="40"/>
      <c r="V132" s="40"/>
      <c r="W132" s="25"/>
      <c r="X132" s="25"/>
      <c r="Y132" s="25"/>
      <c r="Z132" s="16"/>
      <c r="AA132" s="16"/>
      <c r="AB132" s="21"/>
      <c r="AC132" s="33">
        <f t="shared" si="62"/>
        <v>0</v>
      </c>
    </row>
    <row r="133" spans="1:29" hidden="1" x14ac:dyDescent="0.15">
      <c r="A133" s="8" t="s">
        <v>62</v>
      </c>
      <c r="B133" s="8" t="s">
        <v>117</v>
      </c>
      <c r="C133" s="8" t="s">
        <v>133</v>
      </c>
      <c r="D133" s="8" t="s">
        <v>135</v>
      </c>
      <c r="E133" s="8" t="s">
        <v>44</v>
      </c>
      <c r="F133" s="8" t="s">
        <v>23</v>
      </c>
      <c r="G133" s="9">
        <v>245766.9</v>
      </c>
      <c r="H133" s="43">
        <v>-156417.60000000001</v>
      </c>
      <c r="I133" s="43">
        <v>89349.3</v>
      </c>
      <c r="J133" s="47"/>
      <c r="K133" s="47"/>
      <c r="L133" s="47"/>
      <c r="M133" s="58"/>
      <c r="N133" s="58"/>
      <c r="O133" s="58"/>
      <c r="P133" s="58"/>
      <c r="Q133" s="58"/>
      <c r="R133" s="58"/>
      <c r="S133" s="40"/>
      <c r="T133" s="40"/>
      <c r="U133" s="40"/>
      <c r="V133" s="40"/>
      <c r="W133" s="16"/>
      <c r="X133" s="16"/>
      <c r="Y133" s="16"/>
      <c r="Z133" s="16"/>
      <c r="AA133" s="16"/>
      <c r="AB133" s="21"/>
      <c r="AC133" s="33">
        <f t="shared" si="62"/>
        <v>0</v>
      </c>
    </row>
    <row r="134" spans="1:29" hidden="1" x14ac:dyDescent="0.15">
      <c r="A134" s="8" t="s">
        <v>62</v>
      </c>
      <c r="B134" s="8" t="s">
        <v>117</v>
      </c>
      <c r="C134" s="8" t="s">
        <v>133</v>
      </c>
      <c r="D134" s="8" t="s">
        <v>136</v>
      </c>
      <c r="E134" s="8" t="s">
        <v>44</v>
      </c>
      <c r="F134" s="8" t="s">
        <v>23</v>
      </c>
      <c r="G134" s="9">
        <v>128724.4</v>
      </c>
      <c r="H134" s="43">
        <v>-61119.8</v>
      </c>
      <c r="I134" s="43">
        <v>67604.600000000006</v>
      </c>
      <c r="J134" s="47"/>
      <c r="K134" s="47"/>
      <c r="L134" s="47"/>
      <c r="M134" s="58"/>
      <c r="N134" s="58"/>
      <c r="O134" s="58"/>
      <c r="P134" s="58"/>
      <c r="Q134" s="58"/>
      <c r="R134" s="58"/>
      <c r="S134" s="40"/>
      <c r="T134" s="40"/>
      <c r="U134" s="40"/>
      <c r="V134" s="40"/>
      <c r="W134" s="16"/>
      <c r="X134" s="16"/>
      <c r="Y134" s="16"/>
      <c r="Z134" s="16"/>
      <c r="AA134" s="16"/>
      <c r="AB134" s="21"/>
      <c r="AC134" s="33">
        <f t="shared" si="62"/>
        <v>0</v>
      </c>
    </row>
    <row r="135" spans="1:29" x14ac:dyDescent="0.15">
      <c r="A135" s="8" t="s">
        <v>62</v>
      </c>
      <c r="B135" s="8" t="s">
        <v>195</v>
      </c>
      <c r="C135" s="8" t="s">
        <v>279</v>
      </c>
      <c r="D135" s="8" t="s">
        <v>470</v>
      </c>
      <c r="E135" s="8" t="s">
        <v>44</v>
      </c>
      <c r="F135" s="8" t="s">
        <v>23</v>
      </c>
      <c r="G135" s="9">
        <f>SUM(G136:G138)</f>
        <v>1228041.58</v>
      </c>
      <c r="H135" s="43">
        <f t="shared" ref="H135" si="71">SUM(H136:H138)</f>
        <v>-593590.85</v>
      </c>
      <c r="I135" s="43">
        <f t="shared" ref="I135" si="72">SUM(I136:I138)</f>
        <v>634450.73</v>
      </c>
      <c r="J135" s="47"/>
      <c r="K135" s="47"/>
      <c r="L135" s="47"/>
      <c r="M135" s="58"/>
      <c r="N135" s="58"/>
      <c r="O135" s="58"/>
      <c r="P135" s="58"/>
      <c r="Q135" s="58"/>
      <c r="R135" s="58"/>
      <c r="S135" s="40"/>
      <c r="T135" s="40"/>
      <c r="U135" s="40"/>
      <c r="V135" s="40"/>
      <c r="W135" s="25">
        <v>59</v>
      </c>
      <c r="X135" s="25">
        <v>57</v>
      </c>
      <c r="Y135" s="25">
        <v>72</v>
      </c>
      <c r="Z135" s="16">
        <v>79</v>
      </c>
      <c r="AA135" s="16">
        <v>78</v>
      </c>
      <c r="AB135" s="21">
        <f t="shared" ref="AB135" si="73">+(AA135-W135)/W135</f>
        <v>0.32203389830508472</v>
      </c>
      <c r="AC135" s="33">
        <f t="shared" si="62"/>
        <v>0.26712328767123289</v>
      </c>
    </row>
    <row r="136" spans="1:29" hidden="1" x14ac:dyDescent="0.15">
      <c r="A136" s="8" t="s">
        <v>62</v>
      </c>
      <c r="B136" s="8" t="s">
        <v>195</v>
      </c>
      <c r="C136" s="8" t="s">
        <v>279</v>
      </c>
      <c r="D136" s="8" t="s">
        <v>280</v>
      </c>
      <c r="E136" s="8" t="s">
        <v>44</v>
      </c>
      <c r="F136" s="8" t="s">
        <v>23</v>
      </c>
      <c r="G136" s="9">
        <v>732873.55</v>
      </c>
      <c r="H136" s="43">
        <v>-403452.05</v>
      </c>
      <c r="I136" s="43">
        <v>329421.5</v>
      </c>
      <c r="J136" s="47"/>
      <c r="K136" s="47"/>
      <c r="L136" s="47"/>
      <c r="M136" s="58"/>
      <c r="N136" s="58"/>
      <c r="O136" s="58"/>
      <c r="P136" s="58"/>
      <c r="Q136" s="58"/>
      <c r="R136" s="58"/>
      <c r="S136" s="40"/>
      <c r="T136" s="40"/>
      <c r="U136" s="40"/>
      <c r="V136" s="40"/>
      <c r="W136" s="25"/>
      <c r="X136" s="25"/>
      <c r="Y136" s="25"/>
      <c r="Z136" s="16"/>
      <c r="AA136" s="16"/>
      <c r="AB136" s="21"/>
      <c r="AC136" s="33">
        <f t="shared" si="62"/>
        <v>0</v>
      </c>
    </row>
    <row r="137" spans="1:29" hidden="1" x14ac:dyDescent="0.15">
      <c r="A137" s="8" t="s">
        <v>62</v>
      </c>
      <c r="B137" s="8" t="s">
        <v>195</v>
      </c>
      <c r="C137" s="8" t="s">
        <v>279</v>
      </c>
      <c r="D137" s="8" t="s">
        <v>281</v>
      </c>
      <c r="E137" s="8" t="s">
        <v>44</v>
      </c>
      <c r="F137" s="8" t="s">
        <v>23</v>
      </c>
      <c r="G137" s="9">
        <v>260274.4</v>
      </c>
      <c r="H137" s="43">
        <v>-140497.60000000001</v>
      </c>
      <c r="I137" s="43">
        <v>119776.8</v>
      </c>
      <c r="J137" s="47"/>
      <c r="K137" s="47"/>
      <c r="L137" s="47"/>
      <c r="M137" s="58"/>
      <c r="N137" s="58"/>
      <c r="O137" s="58"/>
      <c r="P137" s="58"/>
      <c r="Q137" s="58"/>
      <c r="R137" s="58"/>
      <c r="S137" s="40"/>
      <c r="T137" s="40"/>
      <c r="U137" s="40"/>
      <c r="V137" s="40"/>
      <c r="W137" s="16"/>
      <c r="X137" s="16"/>
      <c r="Y137" s="16"/>
      <c r="Z137" s="16"/>
      <c r="AA137" s="16"/>
      <c r="AB137" s="21"/>
      <c r="AC137" s="33">
        <f t="shared" si="62"/>
        <v>0</v>
      </c>
    </row>
    <row r="138" spans="1:29" hidden="1" x14ac:dyDescent="0.15">
      <c r="A138" s="8" t="s">
        <v>62</v>
      </c>
      <c r="B138" s="8" t="s">
        <v>195</v>
      </c>
      <c r="C138" s="8" t="s">
        <v>279</v>
      </c>
      <c r="D138" s="8" t="s">
        <v>282</v>
      </c>
      <c r="E138" s="8" t="s">
        <v>44</v>
      </c>
      <c r="F138" s="8" t="s">
        <v>23</v>
      </c>
      <c r="G138" s="9">
        <v>234893.63</v>
      </c>
      <c r="H138" s="43">
        <v>-49641.2</v>
      </c>
      <c r="I138" s="43">
        <v>185252.43</v>
      </c>
      <c r="J138" s="47"/>
      <c r="K138" s="47"/>
      <c r="L138" s="47"/>
      <c r="M138" s="58"/>
      <c r="N138" s="58"/>
      <c r="O138" s="58"/>
      <c r="P138" s="58"/>
      <c r="Q138" s="58"/>
      <c r="R138" s="58"/>
      <c r="S138" s="40"/>
      <c r="T138" s="40"/>
      <c r="U138" s="40"/>
      <c r="V138" s="40"/>
      <c r="W138" s="16"/>
      <c r="X138" s="16"/>
      <c r="Y138" s="16"/>
      <c r="Z138" s="16"/>
      <c r="AA138" s="16"/>
      <c r="AB138" s="21"/>
      <c r="AC138" s="33">
        <f t="shared" si="62"/>
        <v>0</v>
      </c>
    </row>
    <row r="139" spans="1:29" x14ac:dyDescent="0.15">
      <c r="A139" s="8" t="s">
        <v>321</v>
      </c>
      <c r="B139" s="8" t="s">
        <v>322</v>
      </c>
      <c r="C139" s="8" t="s">
        <v>403</v>
      </c>
      <c r="D139" s="8" t="s">
        <v>468</v>
      </c>
      <c r="E139" s="8" t="s">
        <v>44</v>
      </c>
      <c r="F139" s="8" t="s">
        <v>23</v>
      </c>
      <c r="G139" s="9">
        <f>SUM(G140:G142)</f>
        <v>202615.5</v>
      </c>
      <c r="H139" s="43">
        <f t="shared" ref="H139" si="74">SUM(H140:H142)</f>
        <v>-55449.710000000006</v>
      </c>
      <c r="I139" s="43">
        <f t="shared" ref="I139" si="75">SUM(I140:I142)</f>
        <v>147165.79</v>
      </c>
      <c r="J139" s="47"/>
      <c r="K139" s="47"/>
      <c r="L139" s="47"/>
      <c r="M139" s="58"/>
      <c r="N139" s="58"/>
      <c r="O139" s="58"/>
      <c r="P139" s="58"/>
      <c r="Q139" s="58"/>
      <c r="R139" s="58"/>
      <c r="S139" s="40"/>
      <c r="T139" s="40"/>
      <c r="U139" s="40"/>
      <c r="V139" s="40"/>
      <c r="W139" s="16">
        <v>20</v>
      </c>
      <c r="X139" s="16">
        <v>19</v>
      </c>
      <c r="Y139" s="16">
        <v>16</v>
      </c>
      <c r="Z139" s="16">
        <v>22</v>
      </c>
      <c r="AA139" s="16">
        <v>25</v>
      </c>
      <c r="AB139" s="21">
        <f t="shared" ref="AB139" si="76">+(AA139-W139)/W139</f>
        <v>0.25</v>
      </c>
      <c r="AC139" s="33">
        <f t="shared" si="62"/>
        <v>8.5616438356164379E-2</v>
      </c>
    </row>
    <row r="140" spans="1:29" hidden="1" x14ac:dyDescent="0.15">
      <c r="A140" s="8" t="s">
        <v>321</v>
      </c>
      <c r="B140" s="8" t="s">
        <v>322</v>
      </c>
      <c r="C140" s="8" t="s">
        <v>403</v>
      </c>
      <c r="D140" s="8" t="s">
        <v>405</v>
      </c>
      <c r="E140" s="8" t="s">
        <v>44</v>
      </c>
      <c r="F140" s="8" t="s">
        <v>23</v>
      </c>
      <c r="G140" s="9">
        <v>98800.2</v>
      </c>
      <c r="H140" s="43">
        <v>-27180.21</v>
      </c>
      <c r="I140" s="43">
        <v>71619.990000000005</v>
      </c>
      <c r="J140" s="47"/>
      <c r="K140" s="47"/>
      <c r="L140" s="47"/>
      <c r="M140" s="58"/>
      <c r="N140" s="58"/>
      <c r="O140" s="58"/>
      <c r="P140" s="58"/>
      <c r="Q140" s="58"/>
      <c r="R140" s="58"/>
      <c r="S140" s="40"/>
      <c r="T140" s="40"/>
      <c r="U140" s="40"/>
      <c r="V140" s="40"/>
      <c r="W140" s="16"/>
      <c r="X140" s="16"/>
      <c r="Y140" s="16"/>
      <c r="Z140" s="16"/>
      <c r="AA140" s="16"/>
      <c r="AB140" s="21"/>
      <c r="AC140" s="33">
        <f t="shared" si="62"/>
        <v>0</v>
      </c>
    </row>
    <row r="141" spans="1:29" hidden="1" x14ac:dyDescent="0.15">
      <c r="A141" s="8" t="s">
        <v>321</v>
      </c>
      <c r="B141" s="8" t="s">
        <v>322</v>
      </c>
      <c r="C141" s="8" t="s">
        <v>403</v>
      </c>
      <c r="D141" s="8" t="s">
        <v>406</v>
      </c>
      <c r="E141" s="8" t="s">
        <v>44</v>
      </c>
      <c r="F141" s="8" t="s">
        <v>23</v>
      </c>
      <c r="G141" s="9">
        <v>32813.1</v>
      </c>
      <c r="H141" s="43">
        <v>-10314.200000000001</v>
      </c>
      <c r="I141" s="43">
        <v>22498.9</v>
      </c>
      <c r="J141" s="47"/>
      <c r="K141" s="47"/>
      <c r="L141" s="47"/>
      <c r="M141" s="58"/>
      <c r="N141" s="58"/>
      <c r="O141" s="58"/>
      <c r="P141" s="58"/>
      <c r="Q141" s="58"/>
      <c r="R141" s="58"/>
      <c r="S141" s="40"/>
      <c r="T141" s="40"/>
      <c r="U141" s="40"/>
      <c r="V141" s="40"/>
      <c r="W141" s="16"/>
      <c r="X141" s="16"/>
      <c r="Y141" s="16"/>
      <c r="Z141" s="16"/>
      <c r="AA141" s="16"/>
      <c r="AB141" s="21"/>
      <c r="AC141" s="33">
        <f t="shared" si="62"/>
        <v>0</v>
      </c>
    </row>
    <row r="142" spans="1:29" hidden="1" x14ac:dyDescent="0.15">
      <c r="A142" s="8" t="s">
        <v>321</v>
      </c>
      <c r="B142" s="8" t="s">
        <v>322</v>
      </c>
      <c r="C142" s="8" t="s">
        <v>403</v>
      </c>
      <c r="D142" s="8" t="s">
        <v>407</v>
      </c>
      <c r="E142" s="8" t="s">
        <v>44</v>
      </c>
      <c r="F142" s="8" t="s">
        <v>23</v>
      </c>
      <c r="G142" s="9">
        <v>71002.2</v>
      </c>
      <c r="H142" s="43">
        <v>-17955.3</v>
      </c>
      <c r="I142" s="43">
        <v>53046.9</v>
      </c>
      <c r="J142" s="47"/>
      <c r="K142" s="47"/>
      <c r="L142" s="47"/>
      <c r="M142" s="58"/>
      <c r="N142" s="58"/>
      <c r="O142" s="58"/>
      <c r="P142" s="58"/>
      <c r="Q142" s="58"/>
      <c r="R142" s="58"/>
      <c r="S142" s="40"/>
      <c r="T142" s="40"/>
      <c r="U142" s="40"/>
      <c r="V142" s="40"/>
      <c r="W142" s="16"/>
      <c r="X142" s="16"/>
      <c r="Y142" s="16"/>
      <c r="Z142" s="16"/>
      <c r="AA142" s="16"/>
      <c r="AB142" s="21"/>
      <c r="AC142" s="33">
        <f t="shared" si="62"/>
        <v>0</v>
      </c>
    </row>
    <row r="143" spans="1:29" x14ac:dyDescent="0.15">
      <c r="A143" s="8" t="s">
        <v>321</v>
      </c>
      <c r="B143" s="8" t="s">
        <v>322</v>
      </c>
      <c r="C143" s="8" t="s">
        <v>414</v>
      </c>
      <c r="D143" s="8" t="s">
        <v>469</v>
      </c>
      <c r="E143" s="8" t="s">
        <v>44</v>
      </c>
      <c r="F143" s="8" t="s">
        <v>23</v>
      </c>
      <c r="G143" s="9">
        <f>SUM(G144:G146)</f>
        <v>950967.49000000011</v>
      </c>
      <c r="H143" s="43">
        <f t="shared" ref="H143" si="77">SUM(H144:H146)</f>
        <v>-397568.89999999997</v>
      </c>
      <c r="I143" s="43">
        <f t="shared" ref="I143" si="78">SUM(I144:I146)</f>
        <v>553398.59000000008</v>
      </c>
      <c r="J143" s="47"/>
      <c r="K143" s="47"/>
      <c r="L143" s="47"/>
      <c r="M143" s="58"/>
      <c r="N143" s="58"/>
      <c r="O143" s="58"/>
      <c r="P143" s="58"/>
      <c r="Q143" s="58"/>
      <c r="R143" s="58"/>
      <c r="S143" s="40"/>
      <c r="T143" s="40"/>
      <c r="U143" s="40"/>
      <c r="V143" s="40"/>
      <c r="W143" s="25">
        <v>76</v>
      </c>
      <c r="X143" s="25">
        <v>93</v>
      </c>
      <c r="Y143" s="16">
        <v>88</v>
      </c>
      <c r="Z143" s="16">
        <v>91</v>
      </c>
      <c r="AA143" s="16">
        <v>88</v>
      </c>
      <c r="AB143" s="21">
        <f t="shared" ref="AB143" si="79">+(AA143-W143)/W143</f>
        <v>0.15789473684210525</v>
      </c>
      <c r="AC143" s="33">
        <f t="shared" si="62"/>
        <v>0.30136986301369861</v>
      </c>
    </row>
    <row r="144" spans="1:29" hidden="1" x14ac:dyDescent="0.15">
      <c r="A144" s="8" t="s">
        <v>321</v>
      </c>
      <c r="B144" s="8" t="s">
        <v>322</v>
      </c>
      <c r="C144" s="8" t="s">
        <v>414</v>
      </c>
      <c r="D144" s="8" t="s">
        <v>415</v>
      </c>
      <c r="E144" s="8" t="s">
        <v>44</v>
      </c>
      <c r="F144" s="8" t="s">
        <v>23</v>
      </c>
      <c r="G144" s="9">
        <v>559884.68000000005</v>
      </c>
      <c r="H144" s="43">
        <v>-246944.4</v>
      </c>
      <c r="I144" s="43">
        <v>312940.28000000003</v>
      </c>
      <c r="J144" s="47"/>
      <c r="K144" s="47"/>
      <c r="L144" s="47"/>
      <c r="M144" s="58"/>
      <c r="N144" s="58"/>
      <c r="O144" s="58"/>
      <c r="P144" s="58"/>
      <c r="Q144" s="58"/>
      <c r="R144" s="58"/>
      <c r="S144" s="40" t="e">
        <f>+I144-#REF!</f>
        <v>#REF!</v>
      </c>
      <c r="T144" s="40"/>
      <c r="U144" s="40"/>
      <c r="V144" s="40"/>
      <c r="W144" s="25"/>
      <c r="X144" s="25"/>
      <c r="Y144" s="16"/>
      <c r="Z144" s="16"/>
      <c r="AA144" s="16"/>
      <c r="AB144" s="21"/>
    </row>
    <row r="145" spans="1:29" hidden="1" x14ac:dyDescent="0.15">
      <c r="A145" s="8" t="s">
        <v>321</v>
      </c>
      <c r="B145" s="8" t="s">
        <v>322</v>
      </c>
      <c r="C145" s="8" t="s">
        <v>414</v>
      </c>
      <c r="D145" s="8" t="s">
        <v>416</v>
      </c>
      <c r="E145" s="8" t="s">
        <v>44</v>
      </c>
      <c r="F145" s="8" t="s">
        <v>23</v>
      </c>
      <c r="G145" s="9">
        <v>218854.53</v>
      </c>
      <c r="H145" s="43">
        <v>-111647.4</v>
      </c>
      <c r="I145" s="43">
        <v>107207.13</v>
      </c>
      <c r="J145" s="47"/>
      <c r="K145" s="47"/>
      <c r="L145" s="47"/>
      <c r="M145" s="58"/>
      <c r="N145" s="58"/>
      <c r="O145" s="58"/>
      <c r="P145" s="58"/>
      <c r="Q145" s="58"/>
      <c r="R145" s="58"/>
      <c r="S145" s="40" t="e">
        <f>+I145-#REF!</f>
        <v>#REF!</v>
      </c>
      <c r="T145" s="40"/>
      <c r="U145" s="40"/>
      <c r="V145" s="40"/>
      <c r="W145" s="16"/>
      <c r="X145" s="16"/>
      <c r="Y145" s="16"/>
      <c r="Z145" s="16"/>
      <c r="AA145" s="16"/>
      <c r="AB145" s="21"/>
    </row>
    <row r="146" spans="1:29" hidden="1" x14ac:dyDescent="0.15">
      <c r="A146" s="8" t="s">
        <v>321</v>
      </c>
      <c r="B146" s="8" t="s">
        <v>322</v>
      </c>
      <c r="C146" s="8" t="s">
        <v>414</v>
      </c>
      <c r="D146" s="8" t="s">
        <v>417</v>
      </c>
      <c r="E146" s="8" t="s">
        <v>44</v>
      </c>
      <c r="F146" s="8" t="s">
        <v>23</v>
      </c>
      <c r="G146" s="9">
        <v>172228.28</v>
      </c>
      <c r="H146" s="43">
        <v>-38977.1</v>
      </c>
      <c r="I146" s="43">
        <v>133251.18</v>
      </c>
      <c r="J146" s="47"/>
      <c r="K146" s="47"/>
      <c r="L146" s="47"/>
      <c r="M146" s="58"/>
      <c r="N146" s="58"/>
      <c r="O146" s="58"/>
      <c r="P146" s="58"/>
      <c r="Q146" s="58"/>
      <c r="R146" s="58"/>
      <c r="S146" s="40" t="e">
        <f>+I146-#REF!</f>
        <v>#REF!</v>
      </c>
      <c r="T146" s="40"/>
      <c r="U146" s="40"/>
      <c r="V146" s="40"/>
      <c r="W146" s="16"/>
      <c r="X146" s="16"/>
      <c r="Y146" s="16"/>
      <c r="Z146" s="16"/>
      <c r="AA146" s="16"/>
      <c r="AB146" s="21"/>
    </row>
    <row r="147" spans="1:29" x14ac:dyDescent="0.15">
      <c r="A147" s="5"/>
      <c r="B147" s="5" t="s">
        <v>0</v>
      </c>
      <c r="C147" s="5" t="s">
        <v>0</v>
      </c>
      <c r="D147" s="5" t="s">
        <v>0</v>
      </c>
      <c r="E147" s="5" t="s">
        <v>56</v>
      </c>
      <c r="F147" s="5" t="s">
        <v>23</v>
      </c>
      <c r="G147" s="6">
        <v>1433065.1</v>
      </c>
      <c r="H147" s="42">
        <v>-844457.09750000003</v>
      </c>
      <c r="I147" s="42">
        <v>588608.00249999994</v>
      </c>
      <c r="J147" s="42">
        <v>1651363.635</v>
      </c>
      <c r="K147" s="42">
        <f>-875715.777786237-578</f>
        <v>-876293.77778623695</v>
      </c>
      <c r="L147" s="42">
        <f>+J147+K147</f>
        <v>775069.85721376305</v>
      </c>
      <c r="M147" s="57">
        <v>-1249828.8400000001</v>
      </c>
      <c r="N147" s="57"/>
      <c r="O147" s="57">
        <v>-124940.71</v>
      </c>
      <c r="P147" s="57"/>
      <c r="Q147" s="57">
        <v>-85120.31</v>
      </c>
      <c r="R147" s="57">
        <f>+Q147+M147</f>
        <v>-1334949.1500000001</v>
      </c>
      <c r="S147" s="39">
        <f>+I147+R147</f>
        <v>-746341.1475000002</v>
      </c>
      <c r="T147" s="39">
        <f>+L147+R147</f>
        <v>-559879.29278623709</v>
      </c>
      <c r="U147" s="39">
        <f>+I147+M147</f>
        <v>-661220.83750000014</v>
      </c>
      <c r="V147" s="39">
        <f>+L147+M147</f>
        <v>-474758.98278623703</v>
      </c>
      <c r="W147" s="15">
        <f>SUM(W148:W151)</f>
        <v>138</v>
      </c>
      <c r="X147" s="15">
        <f t="shared" ref="X147:AA147" si="80">SUM(X148:X151)</f>
        <v>132</v>
      </c>
      <c r="Y147" s="15">
        <f t="shared" si="80"/>
        <v>134</v>
      </c>
      <c r="Z147" s="15">
        <f t="shared" si="80"/>
        <v>120</v>
      </c>
      <c r="AA147" s="15">
        <f t="shared" si="80"/>
        <v>119</v>
      </c>
      <c r="AB147" s="31">
        <f>+(AA147-W147)/W147</f>
        <v>-0.13768115942028986</v>
      </c>
    </row>
    <row r="148" spans="1:29" x14ac:dyDescent="0.15">
      <c r="A148" s="8" t="s">
        <v>62</v>
      </c>
      <c r="B148" s="8" t="s">
        <v>195</v>
      </c>
      <c r="C148" s="8" t="s">
        <v>311</v>
      </c>
      <c r="D148" s="8" t="s">
        <v>312</v>
      </c>
      <c r="E148" s="8" t="s">
        <v>56</v>
      </c>
      <c r="F148" s="8" t="s">
        <v>23</v>
      </c>
      <c r="G148" s="9">
        <v>320927.90000000002</v>
      </c>
      <c r="H148" s="43">
        <v>-295176.2</v>
      </c>
      <c r="I148" s="43">
        <v>25751.7</v>
      </c>
      <c r="J148" s="47"/>
      <c r="K148" s="47"/>
      <c r="L148" s="47"/>
      <c r="M148" s="58"/>
      <c r="N148" s="58"/>
      <c r="O148" s="58"/>
      <c r="P148" s="58"/>
      <c r="Q148" s="58"/>
      <c r="R148" s="58"/>
      <c r="S148" s="40"/>
      <c r="T148" s="40"/>
      <c r="U148" s="40"/>
      <c r="V148" s="40"/>
      <c r="W148" s="25">
        <v>15</v>
      </c>
      <c r="X148" s="25">
        <v>16</v>
      </c>
      <c r="Y148" s="25">
        <v>15</v>
      </c>
      <c r="Z148" s="16">
        <v>15</v>
      </c>
      <c r="AA148" s="16">
        <v>16</v>
      </c>
      <c r="AB148" s="21">
        <f t="shared" ref="AB148:AB151" si="81">+(AA148-W148)/W148</f>
        <v>6.6666666666666666E-2</v>
      </c>
      <c r="AC148" s="33">
        <f>+AA148/AA147</f>
        <v>0.13445378151260504</v>
      </c>
    </row>
    <row r="149" spans="1:29" x14ac:dyDescent="0.15">
      <c r="A149" s="8" t="s">
        <v>62</v>
      </c>
      <c r="B149" s="8" t="s">
        <v>195</v>
      </c>
      <c r="C149" s="8" t="s">
        <v>309</v>
      </c>
      <c r="D149" s="8" t="s">
        <v>310</v>
      </c>
      <c r="E149" s="8" t="s">
        <v>56</v>
      </c>
      <c r="F149" s="8" t="s">
        <v>23</v>
      </c>
      <c r="G149" s="9">
        <v>587152.19999999995</v>
      </c>
      <c r="H149" s="43">
        <v>-437890.7</v>
      </c>
      <c r="I149" s="43">
        <v>149261.5</v>
      </c>
      <c r="J149" s="47"/>
      <c r="K149" s="47"/>
      <c r="L149" s="47"/>
      <c r="M149" s="58"/>
      <c r="N149" s="58"/>
      <c r="O149" s="58"/>
      <c r="P149" s="58"/>
      <c r="Q149" s="58"/>
      <c r="R149" s="58"/>
      <c r="S149" s="40"/>
      <c r="T149" s="40"/>
      <c r="U149" s="40"/>
      <c r="V149" s="40"/>
      <c r="W149" s="25">
        <v>46</v>
      </c>
      <c r="X149" s="25">
        <v>42</v>
      </c>
      <c r="Y149" s="25">
        <v>42</v>
      </c>
      <c r="Z149" s="16">
        <v>35</v>
      </c>
      <c r="AA149" s="16">
        <v>32</v>
      </c>
      <c r="AB149" s="30">
        <f t="shared" si="81"/>
        <v>-0.30434782608695654</v>
      </c>
      <c r="AC149" s="33">
        <f>+AA149/AA147</f>
        <v>0.26890756302521007</v>
      </c>
    </row>
    <row r="150" spans="1:29" x14ac:dyDescent="0.15">
      <c r="A150" s="8" t="s">
        <v>62</v>
      </c>
      <c r="B150" s="8" t="s">
        <v>195</v>
      </c>
      <c r="C150" s="8" t="s">
        <v>307</v>
      </c>
      <c r="D150" s="8" t="s">
        <v>308</v>
      </c>
      <c r="E150" s="8" t="s">
        <v>56</v>
      </c>
      <c r="F150" s="8" t="s">
        <v>23</v>
      </c>
      <c r="G150" s="9">
        <v>61505.9</v>
      </c>
      <c r="H150" s="43">
        <v>-43799.3</v>
      </c>
      <c r="I150" s="43">
        <v>17706.599999999999</v>
      </c>
      <c r="J150" s="47"/>
      <c r="K150" s="47"/>
      <c r="L150" s="47"/>
      <c r="M150" s="58"/>
      <c r="N150" s="58"/>
      <c r="O150" s="58"/>
      <c r="P150" s="58"/>
      <c r="Q150" s="58"/>
      <c r="R150" s="58"/>
      <c r="S150" s="40"/>
      <c r="T150" s="40"/>
      <c r="U150" s="40"/>
      <c r="V150" s="40"/>
      <c r="W150" s="25">
        <v>14</v>
      </c>
      <c r="X150" s="25">
        <v>10</v>
      </c>
      <c r="Y150" s="25">
        <v>7</v>
      </c>
      <c r="Z150" s="16">
        <v>10</v>
      </c>
      <c r="AA150" s="16">
        <v>9</v>
      </c>
      <c r="AB150" s="30">
        <f t="shared" si="81"/>
        <v>-0.35714285714285715</v>
      </c>
      <c r="AC150" s="33">
        <f>+AA150/AA147</f>
        <v>7.5630252100840331E-2</v>
      </c>
    </row>
    <row r="151" spans="1:29" x14ac:dyDescent="0.15">
      <c r="A151" s="8" t="s">
        <v>321</v>
      </c>
      <c r="B151" s="8" t="s">
        <v>322</v>
      </c>
      <c r="C151" s="8" t="s">
        <v>440</v>
      </c>
      <c r="D151" s="8" t="s">
        <v>441</v>
      </c>
      <c r="E151" s="8" t="s">
        <v>56</v>
      </c>
      <c r="F151" s="8" t="s">
        <v>23</v>
      </c>
      <c r="G151" s="9">
        <v>463479.1</v>
      </c>
      <c r="H151" s="43">
        <v>-67590.897500000006</v>
      </c>
      <c r="I151" s="43">
        <v>395888.20250000001</v>
      </c>
      <c r="J151" s="47"/>
      <c r="K151" s="47"/>
      <c r="L151" s="47"/>
      <c r="M151" s="58"/>
      <c r="N151" s="58"/>
      <c r="O151" s="58"/>
      <c r="P151" s="58"/>
      <c r="Q151" s="58"/>
      <c r="R151" s="58"/>
      <c r="S151" s="40"/>
      <c r="T151" s="40"/>
      <c r="U151" s="40"/>
      <c r="V151" s="40"/>
      <c r="W151" s="25">
        <v>63</v>
      </c>
      <c r="X151" s="25">
        <v>64</v>
      </c>
      <c r="Y151" s="16">
        <v>70</v>
      </c>
      <c r="Z151" s="16">
        <v>60</v>
      </c>
      <c r="AA151" s="16">
        <v>62</v>
      </c>
      <c r="AB151" s="30">
        <f t="shared" si="81"/>
        <v>-1.5873015873015872E-2</v>
      </c>
      <c r="AC151" s="33">
        <f>+AA151/AA147</f>
        <v>0.52100840336134457</v>
      </c>
    </row>
    <row r="152" spans="1:29" x14ac:dyDescent="0.15">
      <c r="A152" s="5"/>
      <c r="B152" s="5" t="s">
        <v>0</v>
      </c>
      <c r="C152" s="5" t="s">
        <v>0</v>
      </c>
      <c r="D152" s="5" t="s">
        <v>0</v>
      </c>
      <c r="E152" s="5" t="s">
        <v>8</v>
      </c>
      <c r="F152" s="5" t="s">
        <v>9</v>
      </c>
      <c r="G152" s="6">
        <v>5521139.4699999997</v>
      </c>
      <c r="H152" s="42">
        <v>-1141897.3600000001</v>
      </c>
      <c r="I152" s="42">
        <v>4379242.1100000003</v>
      </c>
      <c r="J152" s="42">
        <f>8299616.865+56803+56803</f>
        <v>8413222.8650000002</v>
      </c>
      <c r="K152" s="42">
        <v>-1309295.81816036</v>
      </c>
      <c r="L152" s="42">
        <f>+J152+K152</f>
        <v>7103927.0468396405</v>
      </c>
      <c r="M152" s="57">
        <f>-1887071.33-1398524.51</f>
        <v>-3285595.84</v>
      </c>
      <c r="N152" s="57">
        <v>-13274.45</v>
      </c>
      <c r="O152" s="57">
        <v>-133363.1</v>
      </c>
      <c r="P152" s="57">
        <v>-12584.95</v>
      </c>
      <c r="Q152" s="57">
        <v>10578.95</v>
      </c>
      <c r="R152" s="57">
        <f>+Q152+M152</f>
        <v>-3275016.8899999997</v>
      </c>
      <c r="S152" s="39">
        <f>+I152+R152</f>
        <v>1104225.2200000007</v>
      </c>
      <c r="T152" s="39">
        <f>+L152+R152</f>
        <v>3828910.1568396408</v>
      </c>
      <c r="U152" s="39">
        <f>+I152+M152</f>
        <v>1093646.2700000005</v>
      </c>
      <c r="V152" s="39">
        <f>+L152+M152</f>
        <v>3818331.2068396406</v>
      </c>
      <c r="W152" s="15">
        <f>SUM(W153:W158)</f>
        <v>713</v>
      </c>
      <c r="X152" s="15">
        <f t="shared" ref="X152:AA152" si="82">SUM(X153:X158)</f>
        <v>785</v>
      </c>
      <c r="Y152" s="15">
        <f t="shared" si="82"/>
        <v>861</v>
      </c>
      <c r="Z152" s="15">
        <f t="shared" si="82"/>
        <v>880</v>
      </c>
      <c r="AA152" s="15">
        <f t="shared" si="82"/>
        <v>893</v>
      </c>
      <c r="AB152" s="19">
        <f>+(AA152-W152)/W152</f>
        <v>0.25245441795231416</v>
      </c>
    </row>
    <row r="153" spans="1:29" x14ac:dyDescent="0.15">
      <c r="A153" s="8" t="s">
        <v>62</v>
      </c>
      <c r="B153" s="8" t="s">
        <v>195</v>
      </c>
      <c r="C153" s="8" t="s">
        <v>204</v>
      </c>
      <c r="D153" s="8" t="s">
        <v>205</v>
      </c>
      <c r="E153" s="8" t="s">
        <v>8</v>
      </c>
      <c r="F153" s="8" t="s">
        <v>9</v>
      </c>
      <c r="G153" s="9">
        <v>65714.7</v>
      </c>
      <c r="H153" s="43"/>
      <c r="I153" s="43">
        <v>65714.7</v>
      </c>
      <c r="J153" s="47"/>
      <c r="K153" s="47"/>
      <c r="L153" s="47"/>
      <c r="M153" s="58"/>
      <c r="N153" s="58"/>
      <c r="O153" s="58"/>
      <c r="P153" s="58"/>
      <c r="Q153" s="58"/>
      <c r="R153" s="58"/>
      <c r="S153" s="40"/>
      <c r="T153" s="40"/>
      <c r="U153" s="40"/>
      <c r="V153" s="40"/>
      <c r="W153" s="16"/>
      <c r="X153" s="16"/>
      <c r="Y153" s="16"/>
      <c r="Z153" s="16"/>
      <c r="AA153" s="16">
        <v>8</v>
      </c>
      <c r="AB153" s="22"/>
      <c r="AC153" s="33">
        <f>+AA153/AA152</f>
        <v>8.9585666293393058E-3</v>
      </c>
    </row>
    <row r="154" spans="1:29" x14ac:dyDescent="0.15">
      <c r="A154" s="8" t="s">
        <v>62</v>
      </c>
      <c r="B154" s="8" t="s">
        <v>195</v>
      </c>
      <c r="C154" s="8" t="s">
        <v>208</v>
      </c>
      <c r="D154" s="8" t="s">
        <v>209</v>
      </c>
      <c r="E154" s="8" t="s">
        <v>8</v>
      </c>
      <c r="F154" s="8" t="s">
        <v>9</v>
      </c>
      <c r="G154" s="9">
        <v>106916.95</v>
      </c>
      <c r="H154" s="43">
        <v>-2485.6</v>
      </c>
      <c r="I154" s="43">
        <v>104431.35</v>
      </c>
      <c r="J154" s="47"/>
      <c r="K154" s="47"/>
      <c r="L154" s="47"/>
      <c r="M154" s="58"/>
      <c r="N154" s="58"/>
      <c r="O154" s="58"/>
      <c r="P154" s="58"/>
      <c r="Q154" s="58"/>
      <c r="R154" s="58"/>
      <c r="S154" s="40"/>
      <c r="T154" s="40"/>
      <c r="U154" s="40"/>
      <c r="V154" s="40"/>
      <c r="W154" s="25">
        <v>30</v>
      </c>
      <c r="X154" s="25">
        <v>28</v>
      </c>
      <c r="Y154" s="25">
        <v>20</v>
      </c>
      <c r="Z154" s="16">
        <v>22</v>
      </c>
      <c r="AA154" s="16">
        <v>20</v>
      </c>
      <c r="AB154" s="30">
        <f t="shared" ref="AB154:AB158" si="83">+(AA154-W154)/W154</f>
        <v>-0.33333333333333331</v>
      </c>
      <c r="AC154" s="33">
        <f>+AA154/AA152</f>
        <v>2.2396416573348264E-2</v>
      </c>
    </row>
    <row r="155" spans="1:29" x14ac:dyDescent="0.15">
      <c r="A155" s="8" t="s">
        <v>62</v>
      </c>
      <c r="B155" s="8" t="s">
        <v>63</v>
      </c>
      <c r="C155" s="8" t="s">
        <v>68</v>
      </c>
      <c r="D155" s="8" t="s">
        <v>69</v>
      </c>
      <c r="E155" s="8" t="s">
        <v>8</v>
      </c>
      <c r="F155" s="8" t="s">
        <v>9</v>
      </c>
      <c r="G155" s="9">
        <v>30660.080000000002</v>
      </c>
      <c r="H155" s="43">
        <v>-30653.83</v>
      </c>
      <c r="I155" s="43">
        <v>6.25</v>
      </c>
      <c r="J155" s="47"/>
      <c r="K155" s="47"/>
      <c r="L155" s="47"/>
      <c r="M155" s="58"/>
      <c r="N155" s="58"/>
      <c r="O155" s="58"/>
      <c r="P155" s="58"/>
      <c r="Q155" s="58"/>
      <c r="R155" s="58"/>
      <c r="S155" s="40"/>
      <c r="T155" s="40"/>
      <c r="U155" s="40"/>
      <c r="V155" s="40"/>
      <c r="W155" s="16">
        <v>11</v>
      </c>
      <c r="X155" s="16">
        <v>9</v>
      </c>
      <c r="Y155" s="16">
        <v>5</v>
      </c>
      <c r="Z155" s="16">
        <v>2</v>
      </c>
      <c r="AA155" s="16">
        <v>5</v>
      </c>
      <c r="AB155" s="30">
        <f t="shared" si="83"/>
        <v>-0.54545454545454541</v>
      </c>
      <c r="AC155" s="33">
        <f>+AA155/AA152</f>
        <v>5.5991041433370659E-3</v>
      </c>
    </row>
    <row r="156" spans="1:29" x14ac:dyDescent="0.15">
      <c r="A156" s="8" t="s">
        <v>62</v>
      </c>
      <c r="B156" s="8" t="s">
        <v>63</v>
      </c>
      <c r="C156" s="8" t="s">
        <v>95</v>
      </c>
      <c r="D156" s="8" t="s">
        <v>96</v>
      </c>
      <c r="E156" s="8" t="s">
        <v>8</v>
      </c>
      <c r="F156" s="8" t="s">
        <v>9</v>
      </c>
      <c r="G156" s="9">
        <v>24088.2</v>
      </c>
      <c r="H156" s="43">
        <v>-27469</v>
      </c>
      <c r="I156" s="43">
        <v>-3380.8</v>
      </c>
      <c r="J156" s="47"/>
      <c r="K156" s="47"/>
      <c r="L156" s="47"/>
      <c r="M156" s="58"/>
      <c r="N156" s="58"/>
      <c r="O156" s="58"/>
      <c r="P156" s="58"/>
      <c r="Q156" s="58"/>
      <c r="R156" s="58"/>
      <c r="S156" s="40"/>
      <c r="T156" s="40"/>
      <c r="U156" s="40"/>
      <c r="V156" s="40"/>
      <c r="W156" s="16">
        <v>10</v>
      </c>
      <c r="X156" s="16">
        <v>10</v>
      </c>
      <c r="Y156" s="16">
        <v>10</v>
      </c>
      <c r="Z156" s="16">
        <v>7</v>
      </c>
      <c r="AA156" s="16">
        <v>9</v>
      </c>
      <c r="AB156" s="30">
        <f t="shared" si="83"/>
        <v>-0.1</v>
      </c>
      <c r="AC156" s="33">
        <f>+AA156/AA152</f>
        <v>1.0078387458006719E-2</v>
      </c>
    </row>
    <row r="157" spans="1:29" x14ac:dyDescent="0.15">
      <c r="A157" s="8" t="s">
        <v>321</v>
      </c>
      <c r="B157" s="8" t="s">
        <v>322</v>
      </c>
      <c r="C157" s="8" t="s">
        <v>329</v>
      </c>
      <c r="D157" s="8" t="s">
        <v>330</v>
      </c>
      <c r="E157" s="8" t="s">
        <v>8</v>
      </c>
      <c r="F157" s="8" t="s">
        <v>9</v>
      </c>
      <c r="G157" s="9">
        <v>666874.69999999995</v>
      </c>
      <c r="H157" s="43">
        <v>-85241.842499999999</v>
      </c>
      <c r="I157" s="43">
        <v>581632.85750000004</v>
      </c>
      <c r="J157" s="47"/>
      <c r="K157" s="47"/>
      <c r="L157" s="47"/>
      <c r="M157" s="58"/>
      <c r="N157" s="58"/>
      <c r="O157" s="58"/>
      <c r="P157" s="58"/>
      <c r="Q157" s="58"/>
      <c r="R157" s="58"/>
      <c r="S157" s="40"/>
      <c r="T157" s="40"/>
      <c r="U157" s="40"/>
      <c r="V157" s="40"/>
      <c r="W157" s="25">
        <v>168</v>
      </c>
      <c r="X157" s="25">
        <v>193</v>
      </c>
      <c r="Y157" s="16">
        <v>261</v>
      </c>
      <c r="Z157" s="16">
        <v>254</v>
      </c>
      <c r="AA157" s="16">
        <v>273</v>
      </c>
      <c r="AB157" s="21">
        <f t="shared" si="83"/>
        <v>0.625</v>
      </c>
      <c r="AC157" s="33">
        <f>+AA157/AA152</f>
        <v>0.3057110862262038</v>
      </c>
    </row>
    <row r="158" spans="1:29" x14ac:dyDescent="0.15">
      <c r="A158" s="8" t="s">
        <v>321</v>
      </c>
      <c r="B158" s="8" t="s">
        <v>322</v>
      </c>
      <c r="C158" s="8" t="s">
        <v>331</v>
      </c>
      <c r="D158" s="8" t="s">
        <v>332</v>
      </c>
      <c r="E158" s="8" t="s">
        <v>8</v>
      </c>
      <c r="F158" s="8" t="s">
        <v>9</v>
      </c>
      <c r="G158" s="9">
        <v>4626884.84</v>
      </c>
      <c r="H158" s="43">
        <v>-996047.08750000002</v>
      </c>
      <c r="I158" s="43">
        <v>3630837.7524999999</v>
      </c>
      <c r="J158" s="47"/>
      <c r="K158" s="47"/>
      <c r="L158" s="47"/>
      <c r="M158" s="58"/>
      <c r="N158" s="58"/>
      <c r="O158" s="58"/>
      <c r="P158" s="58"/>
      <c r="Q158" s="58"/>
      <c r="R158" s="58"/>
      <c r="S158" s="40"/>
      <c r="T158" s="40"/>
      <c r="U158" s="40"/>
      <c r="V158" s="40"/>
      <c r="W158" s="25">
        <v>494</v>
      </c>
      <c r="X158" s="25">
        <v>545</v>
      </c>
      <c r="Y158" s="16">
        <v>565</v>
      </c>
      <c r="Z158" s="16">
        <v>595</v>
      </c>
      <c r="AA158" s="16">
        <v>578</v>
      </c>
      <c r="AB158" s="21">
        <f t="shared" si="83"/>
        <v>0.17004048582995951</v>
      </c>
      <c r="AC158" s="33">
        <f>+AA158/AA152</f>
        <v>0.64725643896976481</v>
      </c>
    </row>
    <row r="159" spans="1:29" x14ac:dyDescent="0.15">
      <c r="A159" s="5"/>
      <c r="B159" s="5" t="s">
        <v>0</v>
      </c>
      <c r="C159" s="5" t="s">
        <v>0</v>
      </c>
      <c r="D159" s="5" t="s">
        <v>0</v>
      </c>
      <c r="E159" s="5" t="s">
        <v>13</v>
      </c>
      <c r="F159" s="5" t="s">
        <v>9</v>
      </c>
      <c r="G159" s="6">
        <v>2790079.1</v>
      </c>
      <c r="H159" s="42">
        <v>-629169.41</v>
      </c>
      <c r="I159" s="42">
        <v>2160909.69</v>
      </c>
      <c r="J159" s="42">
        <v>3887746.56</v>
      </c>
      <c r="K159" s="42">
        <v>-829589.03872462094</v>
      </c>
      <c r="L159" s="42">
        <f>+J159+K159</f>
        <v>3058157.5212753792</v>
      </c>
      <c r="M159" s="57">
        <f>-1435085.85-N159</f>
        <v>-1399168.6</v>
      </c>
      <c r="N159" s="57">
        <v>-35917.25</v>
      </c>
      <c r="O159" s="57"/>
      <c r="P159" s="57"/>
      <c r="Q159" s="57"/>
      <c r="R159" s="57">
        <f>+Q159+M159</f>
        <v>-1399168.6</v>
      </c>
      <c r="S159" s="39">
        <f>+I159+R159</f>
        <v>761741.08999999985</v>
      </c>
      <c r="T159" s="39">
        <f>+L159+R159</f>
        <v>1658988.9212753791</v>
      </c>
      <c r="U159" s="39">
        <f>+I159+M159</f>
        <v>761741.08999999985</v>
      </c>
      <c r="V159" s="39">
        <f>+L159+M159</f>
        <v>1658988.9212753791</v>
      </c>
      <c r="W159" s="15">
        <f>SUM(W160:W163)</f>
        <v>435</v>
      </c>
      <c r="X159" s="15">
        <f t="shared" ref="X159:AA159" si="84">SUM(X160:X163)</f>
        <v>429</v>
      </c>
      <c r="Y159" s="15">
        <f t="shared" si="84"/>
        <v>402</v>
      </c>
      <c r="Z159" s="15">
        <f t="shared" si="84"/>
        <v>361</v>
      </c>
      <c r="AA159" s="15">
        <f t="shared" si="84"/>
        <v>354</v>
      </c>
      <c r="AB159" s="31">
        <f>+(AA159-W159)/W159</f>
        <v>-0.18620689655172415</v>
      </c>
    </row>
    <row r="160" spans="1:29" x14ac:dyDescent="0.15">
      <c r="A160" s="8" t="s">
        <v>62</v>
      </c>
      <c r="B160" s="8" t="s">
        <v>63</v>
      </c>
      <c r="C160" s="8" t="s">
        <v>70</v>
      </c>
      <c r="D160" s="8" t="s">
        <v>71</v>
      </c>
      <c r="E160" s="8" t="s">
        <v>13</v>
      </c>
      <c r="F160" s="8" t="s">
        <v>9</v>
      </c>
      <c r="G160" s="9">
        <v>40948.5</v>
      </c>
      <c r="H160" s="43">
        <v>-37398.5</v>
      </c>
      <c r="I160" s="43">
        <v>3550</v>
      </c>
      <c r="J160" s="47"/>
      <c r="K160" s="47"/>
      <c r="L160" s="47"/>
      <c r="M160" s="58"/>
      <c r="N160" s="58"/>
      <c r="O160" s="58"/>
      <c r="P160" s="58"/>
      <c r="Q160" s="58"/>
      <c r="R160" s="58"/>
      <c r="S160" s="40"/>
      <c r="T160" s="40"/>
      <c r="U160" s="40"/>
      <c r="V160" s="40"/>
      <c r="W160" s="16">
        <v>22</v>
      </c>
      <c r="X160" s="16">
        <v>21</v>
      </c>
      <c r="Y160" s="16">
        <v>18</v>
      </c>
      <c r="Z160" s="16">
        <v>9</v>
      </c>
      <c r="AA160" s="16">
        <v>7</v>
      </c>
      <c r="AB160" s="30">
        <f t="shared" ref="AB160:AB163" si="85">+(AA160-W160)/W160</f>
        <v>-0.68181818181818177</v>
      </c>
      <c r="AC160" s="33">
        <f>+AA160/AA159</f>
        <v>1.977401129943503E-2</v>
      </c>
    </row>
    <row r="161" spans="1:29" x14ac:dyDescent="0.15">
      <c r="A161" s="8" t="s">
        <v>62</v>
      </c>
      <c r="B161" s="8" t="s">
        <v>195</v>
      </c>
      <c r="C161" s="8" t="s">
        <v>210</v>
      </c>
      <c r="D161" s="8" t="s">
        <v>211</v>
      </c>
      <c r="E161" s="8" t="s">
        <v>13</v>
      </c>
      <c r="F161" s="8" t="s">
        <v>9</v>
      </c>
      <c r="G161" s="9">
        <v>60043.5</v>
      </c>
      <c r="H161" s="43">
        <v>-13518.4</v>
      </c>
      <c r="I161" s="43">
        <v>46525.1</v>
      </c>
      <c r="J161" s="47"/>
      <c r="K161" s="47"/>
      <c r="L161" s="47"/>
      <c r="M161" s="58"/>
      <c r="N161" s="58"/>
      <c r="O161" s="58"/>
      <c r="P161" s="58"/>
      <c r="Q161" s="58"/>
      <c r="R161" s="58"/>
      <c r="S161" s="40"/>
      <c r="T161" s="40"/>
      <c r="U161" s="40"/>
      <c r="V161" s="40"/>
      <c r="W161" s="25">
        <v>14</v>
      </c>
      <c r="X161" s="25">
        <v>10</v>
      </c>
      <c r="Y161" s="25">
        <v>11</v>
      </c>
      <c r="Z161" s="16">
        <v>14</v>
      </c>
      <c r="AA161" s="16">
        <v>9</v>
      </c>
      <c r="AB161" s="30">
        <f t="shared" si="85"/>
        <v>-0.35714285714285715</v>
      </c>
      <c r="AC161" s="33">
        <f>+AA161/AA159</f>
        <v>2.5423728813559324E-2</v>
      </c>
    </row>
    <row r="162" spans="1:29" x14ac:dyDescent="0.15">
      <c r="A162" s="8" t="s">
        <v>321</v>
      </c>
      <c r="B162" s="8" t="s">
        <v>322</v>
      </c>
      <c r="C162" s="8" t="s">
        <v>335</v>
      </c>
      <c r="D162" s="8" t="s">
        <v>336</v>
      </c>
      <c r="E162" s="8" t="s">
        <v>13</v>
      </c>
      <c r="F162" s="8" t="s">
        <v>9</v>
      </c>
      <c r="G162" s="9">
        <v>2065416.82</v>
      </c>
      <c r="H162" s="43">
        <v>-403595.28</v>
      </c>
      <c r="I162" s="43">
        <v>1661821.54</v>
      </c>
      <c r="J162" s="47"/>
      <c r="K162" s="47"/>
      <c r="L162" s="47"/>
      <c r="M162" s="58"/>
      <c r="N162" s="58"/>
      <c r="O162" s="58"/>
      <c r="P162" s="58"/>
      <c r="Q162" s="58"/>
      <c r="R162" s="58"/>
      <c r="S162" s="40"/>
      <c r="T162" s="40"/>
      <c r="U162" s="40"/>
      <c r="V162" s="40"/>
      <c r="W162" s="25">
        <v>303</v>
      </c>
      <c r="X162" s="25">
        <v>296</v>
      </c>
      <c r="Y162" s="16">
        <v>275</v>
      </c>
      <c r="Z162" s="16">
        <v>251</v>
      </c>
      <c r="AA162" s="16">
        <v>263</v>
      </c>
      <c r="AB162" s="30">
        <f t="shared" si="85"/>
        <v>-0.132013201320132</v>
      </c>
      <c r="AC162" s="33">
        <f>+AA162/AA159</f>
        <v>0.74293785310734461</v>
      </c>
    </row>
    <row r="163" spans="1:29" x14ac:dyDescent="0.15">
      <c r="A163" s="8" t="s">
        <v>321</v>
      </c>
      <c r="B163" s="8" t="s">
        <v>322</v>
      </c>
      <c r="C163" s="8" t="s">
        <v>337</v>
      </c>
      <c r="D163" s="8" t="s">
        <v>338</v>
      </c>
      <c r="E163" s="8" t="s">
        <v>13</v>
      </c>
      <c r="F163" s="8" t="s">
        <v>9</v>
      </c>
      <c r="G163" s="9">
        <v>623670.28</v>
      </c>
      <c r="H163" s="43">
        <v>-174657.23</v>
      </c>
      <c r="I163" s="43">
        <v>449013.05</v>
      </c>
      <c r="J163" s="47"/>
      <c r="K163" s="47"/>
      <c r="L163" s="47"/>
      <c r="M163" s="58"/>
      <c r="N163" s="58"/>
      <c r="O163" s="58"/>
      <c r="P163" s="58"/>
      <c r="Q163" s="58"/>
      <c r="R163" s="58"/>
      <c r="S163" s="40"/>
      <c r="T163" s="40"/>
      <c r="U163" s="40"/>
      <c r="V163" s="40"/>
      <c r="W163" s="25">
        <v>96</v>
      </c>
      <c r="X163" s="25">
        <v>102</v>
      </c>
      <c r="Y163" s="16">
        <v>98</v>
      </c>
      <c r="Z163" s="16">
        <v>87</v>
      </c>
      <c r="AA163" s="16">
        <v>75</v>
      </c>
      <c r="AB163" s="30">
        <f t="shared" si="85"/>
        <v>-0.21875</v>
      </c>
      <c r="AC163" s="33">
        <f>+AA163/AA159</f>
        <v>0.21186440677966101</v>
      </c>
    </row>
    <row r="164" spans="1:29" x14ac:dyDescent="0.15">
      <c r="A164" s="5"/>
      <c r="B164" s="5" t="s">
        <v>0</v>
      </c>
      <c r="C164" s="5" t="s">
        <v>0</v>
      </c>
      <c r="D164" s="5" t="s">
        <v>0</v>
      </c>
      <c r="E164" s="5" t="s">
        <v>14</v>
      </c>
      <c r="F164" s="5" t="s">
        <v>15</v>
      </c>
      <c r="G164" s="6">
        <v>4329961.9000000004</v>
      </c>
      <c r="H164" s="42">
        <v>-963945.86</v>
      </c>
      <c r="I164" s="42">
        <v>3366016.04</v>
      </c>
      <c r="J164" s="42">
        <v>3688229.1378000001</v>
      </c>
      <c r="K164" s="42">
        <v>-759074.73966810596</v>
      </c>
      <c r="L164" s="42">
        <f>+J164+K164</f>
        <v>2929154.3981318939</v>
      </c>
      <c r="M164" s="57">
        <f>-2079662.29-N164</f>
        <v>-2072788.01</v>
      </c>
      <c r="N164" s="57">
        <v>-6874.28</v>
      </c>
      <c r="O164" s="57">
        <v>-7415.83</v>
      </c>
      <c r="P164" s="57">
        <v>-34353.74</v>
      </c>
      <c r="Q164" s="57">
        <v>-35934.26</v>
      </c>
      <c r="R164" s="57">
        <f>+Q164+M164</f>
        <v>-2108722.27</v>
      </c>
      <c r="S164" s="39">
        <f>+I164+R164</f>
        <v>1257293.77</v>
      </c>
      <c r="T164" s="39">
        <f>+L164+R164</f>
        <v>820432.12813189393</v>
      </c>
      <c r="U164" s="39">
        <f>+I164+M164</f>
        <v>1293228.03</v>
      </c>
      <c r="V164" s="39">
        <f>+L164+M164</f>
        <v>856366.38813189394</v>
      </c>
      <c r="W164" s="15">
        <f>SUM(W165:W169)</f>
        <v>363</v>
      </c>
      <c r="X164" s="15">
        <f t="shared" ref="X164:AA164" si="86">SUM(X165:X169)</f>
        <v>404</v>
      </c>
      <c r="Y164" s="15">
        <f t="shared" si="86"/>
        <v>441</v>
      </c>
      <c r="Z164" s="15">
        <f t="shared" si="86"/>
        <v>464</v>
      </c>
      <c r="AA164" s="15">
        <f t="shared" si="86"/>
        <v>449</v>
      </c>
      <c r="AB164" s="19">
        <f>+(AA164-W164)/W164</f>
        <v>0.23691460055096419</v>
      </c>
    </row>
    <row r="165" spans="1:29" x14ac:dyDescent="0.15">
      <c r="A165" s="8" t="s">
        <v>62</v>
      </c>
      <c r="B165" s="8" t="s">
        <v>195</v>
      </c>
      <c r="C165" s="8" t="s">
        <v>212</v>
      </c>
      <c r="D165" s="8" t="s">
        <v>213</v>
      </c>
      <c r="E165" s="8" t="s">
        <v>14</v>
      </c>
      <c r="F165" s="8" t="s">
        <v>15</v>
      </c>
      <c r="G165" s="9">
        <v>326361.90000000002</v>
      </c>
      <c r="H165" s="43">
        <v>-80799.31</v>
      </c>
      <c r="I165" s="43">
        <v>245562.59</v>
      </c>
      <c r="J165" s="47"/>
      <c r="K165" s="47"/>
      <c r="L165" s="47"/>
      <c r="M165" s="58"/>
      <c r="N165" s="58"/>
      <c r="O165" s="58"/>
      <c r="P165" s="58"/>
      <c r="Q165" s="58"/>
      <c r="R165" s="58"/>
      <c r="S165" s="40"/>
      <c r="T165" s="40"/>
      <c r="U165" s="40"/>
      <c r="V165" s="40"/>
      <c r="W165" s="25">
        <v>39</v>
      </c>
      <c r="X165" s="25">
        <v>48</v>
      </c>
      <c r="Y165" s="25">
        <v>51</v>
      </c>
      <c r="Z165" s="16">
        <v>51</v>
      </c>
      <c r="AA165" s="16">
        <v>45</v>
      </c>
      <c r="AB165" s="21">
        <f t="shared" ref="AB165:AB169" si="87">+(AA165-W165)/W165</f>
        <v>0.15384615384615385</v>
      </c>
      <c r="AC165" s="33">
        <f>+AA165/AA164</f>
        <v>0.10022271714922049</v>
      </c>
    </row>
    <row r="166" spans="1:29" x14ac:dyDescent="0.15">
      <c r="A166" s="8" t="s">
        <v>62</v>
      </c>
      <c r="B166" s="8" t="s">
        <v>148</v>
      </c>
      <c r="C166" s="8" t="s">
        <v>162</v>
      </c>
      <c r="D166" s="8" t="s">
        <v>163</v>
      </c>
      <c r="E166" s="8" t="s">
        <v>14</v>
      </c>
      <c r="F166" s="8" t="s">
        <v>15</v>
      </c>
      <c r="G166" s="9">
        <v>3999.6</v>
      </c>
      <c r="H166" s="43"/>
      <c r="I166" s="43">
        <v>3999.6</v>
      </c>
      <c r="J166" s="47"/>
      <c r="K166" s="47"/>
      <c r="L166" s="47"/>
      <c r="M166" s="58"/>
      <c r="N166" s="58"/>
      <c r="O166" s="58"/>
      <c r="P166" s="58"/>
      <c r="Q166" s="58"/>
      <c r="R166" s="58"/>
      <c r="S166" s="40"/>
      <c r="T166" s="40"/>
      <c r="U166" s="40"/>
      <c r="V166" s="40"/>
      <c r="W166" s="25">
        <v>2</v>
      </c>
      <c r="X166" s="25">
        <v>3</v>
      </c>
      <c r="Y166" s="25">
        <v>7</v>
      </c>
      <c r="Z166" s="16">
        <v>10</v>
      </c>
      <c r="AA166" s="16">
        <v>5</v>
      </c>
      <c r="AB166" s="21">
        <f t="shared" si="87"/>
        <v>1.5</v>
      </c>
      <c r="AC166" s="33">
        <f>+AA166/AA164</f>
        <v>1.1135857461024499E-2</v>
      </c>
    </row>
    <row r="167" spans="1:29" x14ac:dyDescent="0.15">
      <c r="A167" s="8" t="s">
        <v>62</v>
      </c>
      <c r="B167" s="8" t="s">
        <v>195</v>
      </c>
      <c r="C167" s="8" t="s">
        <v>260</v>
      </c>
      <c r="D167" s="8" t="s">
        <v>261</v>
      </c>
      <c r="E167" s="8" t="s">
        <v>14</v>
      </c>
      <c r="F167" s="8" t="s">
        <v>15</v>
      </c>
      <c r="G167" s="9">
        <v>293903.95</v>
      </c>
      <c r="H167" s="43">
        <v>-98164.85</v>
      </c>
      <c r="I167" s="43">
        <v>195739.1</v>
      </c>
      <c r="J167" s="47"/>
      <c r="K167" s="47"/>
      <c r="L167" s="47"/>
      <c r="M167" s="58"/>
      <c r="N167" s="58"/>
      <c r="O167" s="58"/>
      <c r="P167" s="58"/>
      <c r="Q167" s="58"/>
      <c r="R167" s="58"/>
      <c r="S167" s="40"/>
      <c r="T167" s="40"/>
      <c r="U167" s="40"/>
      <c r="V167" s="40"/>
      <c r="W167" s="25">
        <v>28</v>
      </c>
      <c r="X167" s="25">
        <v>29</v>
      </c>
      <c r="Y167" s="25">
        <v>37</v>
      </c>
      <c r="Z167" s="16">
        <v>39</v>
      </c>
      <c r="AA167" s="16">
        <v>33</v>
      </c>
      <c r="AB167" s="21">
        <f t="shared" si="87"/>
        <v>0.17857142857142858</v>
      </c>
      <c r="AC167" s="33">
        <f>+AA167/AA164</f>
        <v>7.3496659242761692E-2</v>
      </c>
    </row>
    <row r="168" spans="1:29" x14ac:dyDescent="0.15">
      <c r="A168" s="8" t="s">
        <v>321</v>
      </c>
      <c r="B168" s="8" t="s">
        <v>322</v>
      </c>
      <c r="C168" s="8" t="s">
        <v>339</v>
      </c>
      <c r="D168" s="8" t="s">
        <v>340</v>
      </c>
      <c r="E168" s="8" t="s">
        <v>14</v>
      </c>
      <c r="F168" s="8" t="s">
        <v>15</v>
      </c>
      <c r="G168" s="9">
        <v>1263866.42</v>
      </c>
      <c r="H168" s="43">
        <v>-299010.7</v>
      </c>
      <c r="I168" s="43">
        <v>964855.72</v>
      </c>
      <c r="J168" s="47"/>
      <c r="K168" s="47"/>
      <c r="L168" s="47"/>
      <c r="M168" s="58"/>
      <c r="N168" s="58"/>
      <c r="O168" s="58"/>
      <c r="P168" s="58"/>
      <c r="Q168" s="58"/>
      <c r="R168" s="58"/>
      <c r="S168" s="40"/>
      <c r="T168" s="40"/>
      <c r="U168" s="40"/>
      <c r="V168" s="40"/>
      <c r="W168" s="25">
        <v>106</v>
      </c>
      <c r="X168" s="25">
        <v>116</v>
      </c>
      <c r="Y168" s="16">
        <v>121</v>
      </c>
      <c r="Z168" s="16">
        <v>120</v>
      </c>
      <c r="AA168" s="16">
        <v>134</v>
      </c>
      <c r="AB168" s="21">
        <f t="shared" si="87"/>
        <v>0.26415094339622641</v>
      </c>
      <c r="AC168" s="33">
        <f>+AA168/AA164</f>
        <v>0.2984409799554566</v>
      </c>
    </row>
    <row r="169" spans="1:29" x14ac:dyDescent="0.15">
      <c r="A169" s="8" t="s">
        <v>321</v>
      </c>
      <c r="B169" s="8" t="s">
        <v>322</v>
      </c>
      <c r="C169" s="8" t="s">
        <v>397</v>
      </c>
      <c r="D169" s="8" t="s">
        <v>398</v>
      </c>
      <c r="E169" s="8" t="s">
        <v>14</v>
      </c>
      <c r="F169" s="8" t="s">
        <v>15</v>
      </c>
      <c r="G169" s="9">
        <v>2441830.0299999998</v>
      </c>
      <c r="H169" s="43">
        <v>-485971</v>
      </c>
      <c r="I169" s="43">
        <v>1955859.03</v>
      </c>
      <c r="J169" s="47"/>
      <c r="K169" s="47"/>
      <c r="L169" s="47"/>
      <c r="M169" s="58"/>
      <c r="N169" s="58"/>
      <c r="O169" s="58"/>
      <c r="P169" s="58"/>
      <c r="Q169" s="58"/>
      <c r="R169" s="58"/>
      <c r="S169" s="40"/>
      <c r="T169" s="40"/>
      <c r="U169" s="40"/>
      <c r="V169" s="40"/>
      <c r="W169" s="25">
        <v>188</v>
      </c>
      <c r="X169" s="25">
        <v>208</v>
      </c>
      <c r="Y169" s="16">
        <v>225</v>
      </c>
      <c r="Z169" s="16">
        <v>244</v>
      </c>
      <c r="AA169" s="16">
        <v>232</v>
      </c>
      <c r="AB169" s="21">
        <f t="shared" si="87"/>
        <v>0.23404255319148937</v>
      </c>
      <c r="AC169" s="33">
        <f>+AA169/AA164</f>
        <v>0.51670378619153678</v>
      </c>
    </row>
    <row r="170" spans="1:29" x14ac:dyDescent="0.15">
      <c r="A170" s="5"/>
      <c r="B170" s="5" t="s">
        <v>0</v>
      </c>
      <c r="C170" s="5" t="s">
        <v>0</v>
      </c>
      <c r="D170" s="5" t="s">
        <v>0</v>
      </c>
      <c r="E170" s="5" t="s">
        <v>17</v>
      </c>
      <c r="F170" s="5" t="s">
        <v>15</v>
      </c>
      <c r="G170" s="6">
        <v>13293540.73</v>
      </c>
      <c r="H170" s="42">
        <v>-3454564.8174999999</v>
      </c>
      <c r="I170" s="42">
        <v>9838975.9124999996</v>
      </c>
      <c r="J170" s="42">
        <v>11363367.062200001</v>
      </c>
      <c r="K170" s="42">
        <v>-3027972.6234504199</v>
      </c>
      <c r="L170" s="42">
        <f>+J170+K170</f>
        <v>8335394.4387495806</v>
      </c>
      <c r="M170" s="57">
        <f>-3637899.01-N170</f>
        <v>-3578485.0799999996</v>
      </c>
      <c r="N170" s="57">
        <v>-59413.93</v>
      </c>
      <c r="O170" s="57">
        <v>-14440.6</v>
      </c>
      <c r="P170" s="57">
        <v>-410080.43</v>
      </c>
      <c r="Q170" s="57"/>
      <c r="R170" s="57">
        <f>+Q170+M170</f>
        <v>-3578485.0799999996</v>
      </c>
      <c r="S170" s="39">
        <f>+I170+R170</f>
        <v>6260490.8324999996</v>
      </c>
      <c r="T170" s="39">
        <f>+L170+R170</f>
        <v>4756909.3587495815</v>
      </c>
      <c r="U170" s="39">
        <f>+I170+M170</f>
        <v>6260490.8324999996</v>
      </c>
      <c r="V170" s="39">
        <f>+L170+M170</f>
        <v>4756909.3587495815</v>
      </c>
      <c r="W170" s="15">
        <f>SUM(W171:W180)</f>
        <v>1647</v>
      </c>
      <c r="X170" s="15">
        <f t="shared" ref="X170:AA170" si="88">SUM(X171:X180)</f>
        <v>1517</v>
      </c>
      <c r="Y170" s="15">
        <f t="shared" si="88"/>
        <v>1332</v>
      </c>
      <c r="Z170" s="15">
        <f t="shared" si="88"/>
        <v>1298</v>
      </c>
      <c r="AA170" s="15">
        <f t="shared" si="88"/>
        <v>1329</v>
      </c>
      <c r="AB170" s="31">
        <f>+(AA170-W170)/W170</f>
        <v>-0.19307832422586521</v>
      </c>
    </row>
    <row r="171" spans="1:29" x14ac:dyDescent="0.15">
      <c r="A171" s="8" t="s">
        <v>62</v>
      </c>
      <c r="B171" s="8" t="s">
        <v>63</v>
      </c>
      <c r="C171" s="8" t="s">
        <v>74</v>
      </c>
      <c r="D171" s="8" t="s">
        <v>75</v>
      </c>
      <c r="E171" s="8" t="s">
        <v>17</v>
      </c>
      <c r="F171" s="8" t="s">
        <v>15</v>
      </c>
      <c r="G171" s="9">
        <v>265332.7</v>
      </c>
      <c r="H171" s="43">
        <v>-215273.1</v>
      </c>
      <c r="I171" s="43">
        <v>50059.6</v>
      </c>
      <c r="J171" s="47"/>
      <c r="K171" s="47"/>
      <c r="L171" s="47"/>
      <c r="M171" s="58"/>
      <c r="N171" s="58"/>
      <c r="O171" s="58"/>
      <c r="P171" s="58"/>
      <c r="Q171" s="58"/>
      <c r="R171" s="58"/>
      <c r="S171" s="40"/>
      <c r="T171" s="40"/>
      <c r="U171" s="40"/>
      <c r="V171" s="40"/>
      <c r="W171" s="16">
        <v>15</v>
      </c>
      <c r="X171" s="16">
        <v>17</v>
      </c>
      <c r="Y171" s="16">
        <v>26</v>
      </c>
      <c r="Z171" s="16">
        <v>28</v>
      </c>
      <c r="AA171" s="16">
        <v>36</v>
      </c>
      <c r="AB171" s="21">
        <f>+(AA171-W171)/W171</f>
        <v>1.4</v>
      </c>
      <c r="AC171" s="33">
        <f>+AA171/AA170</f>
        <v>2.7088036117381489E-2</v>
      </c>
    </row>
    <row r="172" spans="1:29" x14ac:dyDescent="0.15">
      <c r="A172" s="8" t="s">
        <v>62</v>
      </c>
      <c r="B172" s="8" t="s">
        <v>63</v>
      </c>
      <c r="C172" s="8" t="s">
        <v>72</v>
      </c>
      <c r="D172" s="8" t="s">
        <v>73</v>
      </c>
      <c r="E172" s="8" t="s">
        <v>17</v>
      </c>
      <c r="F172" s="8" t="s">
        <v>15</v>
      </c>
      <c r="G172" s="9">
        <v>62909.5</v>
      </c>
      <c r="H172" s="43">
        <v>-51896.959999999999</v>
      </c>
      <c r="I172" s="43">
        <v>11012.54</v>
      </c>
      <c r="J172" s="47"/>
      <c r="K172" s="47"/>
      <c r="L172" s="47"/>
      <c r="M172" s="58"/>
      <c r="N172" s="58"/>
      <c r="O172" s="58"/>
      <c r="P172" s="58"/>
      <c r="Q172" s="58"/>
      <c r="R172" s="58"/>
      <c r="S172" s="40"/>
      <c r="T172" s="40"/>
      <c r="U172" s="40"/>
      <c r="V172" s="40"/>
      <c r="W172" s="16"/>
      <c r="X172" s="16"/>
      <c r="Y172" s="16"/>
      <c r="Z172" s="16">
        <v>21</v>
      </c>
      <c r="AA172" s="16">
        <v>37</v>
      </c>
      <c r="AB172" s="21">
        <f>+(AA172-Z172)/Z172</f>
        <v>0.76190476190476186</v>
      </c>
      <c r="AC172" s="33">
        <f>+AA172/AA170</f>
        <v>2.784048156508653E-2</v>
      </c>
    </row>
    <row r="173" spans="1:29" x14ac:dyDescent="0.15">
      <c r="A173" s="8" t="s">
        <v>62</v>
      </c>
      <c r="B173" s="8" t="s">
        <v>63</v>
      </c>
      <c r="C173" s="8" t="s">
        <v>82</v>
      </c>
      <c r="D173" s="8" t="s">
        <v>83</v>
      </c>
      <c r="E173" s="8" t="s">
        <v>17</v>
      </c>
      <c r="F173" s="8" t="s">
        <v>15</v>
      </c>
      <c r="G173" s="9">
        <v>198774.2</v>
      </c>
      <c r="H173" s="43">
        <v>-168010.56</v>
      </c>
      <c r="I173" s="43">
        <v>30763.64</v>
      </c>
      <c r="J173" s="47"/>
      <c r="K173" s="47"/>
      <c r="L173" s="47"/>
      <c r="M173" s="58"/>
      <c r="N173" s="58"/>
      <c r="O173" s="58"/>
      <c r="P173" s="58"/>
      <c r="Q173" s="58"/>
      <c r="R173" s="58"/>
      <c r="S173" s="40"/>
      <c r="T173" s="40"/>
      <c r="U173" s="40"/>
      <c r="V173" s="40"/>
      <c r="W173" s="16">
        <v>32</v>
      </c>
      <c r="X173" s="16">
        <v>37</v>
      </c>
      <c r="Y173" s="16">
        <v>44</v>
      </c>
      <c r="Z173" s="16">
        <v>42</v>
      </c>
      <c r="AA173" s="16">
        <v>41</v>
      </c>
      <c r="AB173" s="21">
        <f t="shared" ref="AB173:AB180" si="89">+(AA173-W173)/W173</f>
        <v>0.28125</v>
      </c>
      <c r="AC173" s="33">
        <f>+AA173/$AA$170</f>
        <v>3.0850263355906696E-2</v>
      </c>
    </row>
    <row r="174" spans="1:29" x14ac:dyDescent="0.15">
      <c r="A174" s="8" t="s">
        <v>62</v>
      </c>
      <c r="B174" s="8" t="s">
        <v>63</v>
      </c>
      <c r="C174" s="8" t="s">
        <v>115</v>
      </c>
      <c r="D174" s="8" t="s">
        <v>116</v>
      </c>
      <c r="E174" s="8" t="s">
        <v>17</v>
      </c>
      <c r="F174" s="8" t="s">
        <v>15</v>
      </c>
      <c r="G174" s="9">
        <v>25048.3</v>
      </c>
      <c r="H174" s="43">
        <v>-24184</v>
      </c>
      <c r="I174" s="43">
        <v>864.3</v>
      </c>
      <c r="J174" s="47"/>
      <c r="K174" s="47"/>
      <c r="L174" s="47"/>
      <c r="M174" s="58"/>
      <c r="N174" s="58"/>
      <c r="O174" s="58"/>
      <c r="P174" s="58"/>
      <c r="Q174" s="58"/>
      <c r="R174" s="58"/>
      <c r="S174" s="40"/>
      <c r="T174" s="40"/>
      <c r="U174" s="40"/>
      <c r="V174" s="40"/>
      <c r="W174" s="16">
        <v>18</v>
      </c>
      <c r="X174" s="16">
        <v>19</v>
      </c>
      <c r="Y174" s="16">
        <v>24</v>
      </c>
      <c r="Z174" s="16">
        <v>14</v>
      </c>
      <c r="AA174" s="16">
        <v>10</v>
      </c>
      <c r="AB174" s="30">
        <f t="shared" si="89"/>
        <v>-0.44444444444444442</v>
      </c>
      <c r="AC174" s="33">
        <f t="shared" ref="AC174:AC180" si="90">+AA174/$AA$170</f>
        <v>7.5244544770504138E-3</v>
      </c>
    </row>
    <row r="175" spans="1:29" x14ac:dyDescent="0.15">
      <c r="A175" s="8" t="s">
        <v>62</v>
      </c>
      <c r="B175" s="8" t="s">
        <v>195</v>
      </c>
      <c r="C175" s="8" t="s">
        <v>214</v>
      </c>
      <c r="D175" s="8" t="s">
        <v>215</v>
      </c>
      <c r="E175" s="8" t="s">
        <v>17</v>
      </c>
      <c r="F175" s="8" t="s">
        <v>15</v>
      </c>
      <c r="G175" s="9">
        <v>3712661.51</v>
      </c>
      <c r="H175" s="43">
        <v>-1337667.02</v>
      </c>
      <c r="I175" s="43">
        <v>2374994.4900000002</v>
      </c>
      <c r="J175" s="47"/>
      <c r="K175" s="47"/>
      <c r="L175" s="47"/>
      <c r="M175" s="58"/>
      <c r="N175" s="58"/>
      <c r="O175" s="58"/>
      <c r="P175" s="58"/>
      <c r="Q175" s="58"/>
      <c r="R175" s="58"/>
      <c r="S175" s="40"/>
      <c r="T175" s="40"/>
      <c r="U175" s="40"/>
      <c r="V175" s="40"/>
      <c r="W175" s="25">
        <v>376</v>
      </c>
      <c r="X175" s="25">
        <v>403</v>
      </c>
      <c r="Y175" s="25">
        <v>332</v>
      </c>
      <c r="Z175" s="16">
        <v>296</v>
      </c>
      <c r="AA175" s="16">
        <v>310</v>
      </c>
      <c r="AB175" s="30">
        <f t="shared" si="89"/>
        <v>-0.17553191489361702</v>
      </c>
      <c r="AC175" s="33">
        <f t="shared" si="90"/>
        <v>0.23325808878856283</v>
      </c>
    </row>
    <row r="176" spans="1:29" x14ac:dyDescent="0.15">
      <c r="A176" s="8" t="s">
        <v>62</v>
      </c>
      <c r="B176" s="8" t="s">
        <v>195</v>
      </c>
      <c r="C176" s="8" t="s">
        <v>235</v>
      </c>
      <c r="D176" s="8" t="s">
        <v>236</v>
      </c>
      <c r="E176" s="8" t="s">
        <v>17</v>
      </c>
      <c r="F176" s="8" t="s">
        <v>15</v>
      </c>
      <c r="G176" s="9">
        <v>772093.7</v>
      </c>
      <c r="H176" s="43">
        <v>-229718.39</v>
      </c>
      <c r="I176" s="43">
        <v>542375.31000000006</v>
      </c>
      <c r="J176" s="47"/>
      <c r="K176" s="47"/>
      <c r="L176" s="47"/>
      <c r="M176" s="58"/>
      <c r="N176" s="58"/>
      <c r="O176" s="58"/>
      <c r="P176" s="58"/>
      <c r="Q176" s="58"/>
      <c r="R176" s="58"/>
      <c r="S176" s="40"/>
      <c r="T176" s="40"/>
      <c r="U176" s="40"/>
      <c r="V176" s="40"/>
      <c r="W176" s="25">
        <v>536</v>
      </c>
      <c r="X176" s="25">
        <v>337</v>
      </c>
      <c r="Y176" s="25">
        <v>172</v>
      </c>
      <c r="Z176" s="16">
        <v>110</v>
      </c>
      <c r="AA176" s="16">
        <v>92</v>
      </c>
      <c r="AB176" s="30">
        <f t="shared" si="89"/>
        <v>-0.82835820895522383</v>
      </c>
      <c r="AC176" s="33">
        <f t="shared" si="90"/>
        <v>6.9224981188863804E-2</v>
      </c>
    </row>
    <row r="177" spans="1:29" x14ac:dyDescent="0.15">
      <c r="A177" s="8" t="s">
        <v>321</v>
      </c>
      <c r="B177" s="8" t="s">
        <v>322</v>
      </c>
      <c r="C177" s="8" t="s">
        <v>343</v>
      </c>
      <c r="D177" s="8" t="s">
        <v>344</v>
      </c>
      <c r="E177" s="8" t="s">
        <v>17</v>
      </c>
      <c r="F177" s="8" t="s">
        <v>15</v>
      </c>
      <c r="G177" s="9">
        <v>406901.88</v>
      </c>
      <c r="H177" s="43">
        <v>-95863.7</v>
      </c>
      <c r="I177" s="43">
        <v>311038.18</v>
      </c>
      <c r="J177" s="47"/>
      <c r="K177" s="47"/>
      <c r="L177" s="47"/>
      <c r="M177" s="58"/>
      <c r="N177" s="58"/>
      <c r="O177" s="58"/>
      <c r="P177" s="58"/>
      <c r="Q177" s="58"/>
      <c r="R177" s="58"/>
      <c r="S177" s="40"/>
      <c r="T177" s="40"/>
      <c r="U177" s="40"/>
      <c r="V177" s="40"/>
      <c r="W177" s="25">
        <v>29</v>
      </c>
      <c r="X177" s="25">
        <v>33</v>
      </c>
      <c r="Y177" s="16">
        <v>33</v>
      </c>
      <c r="Z177" s="16">
        <v>58</v>
      </c>
      <c r="AA177" s="16">
        <v>52</v>
      </c>
      <c r="AB177" s="21">
        <f t="shared" si="89"/>
        <v>0.7931034482758621</v>
      </c>
      <c r="AC177" s="33">
        <f t="shared" si="90"/>
        <v>3.9127163280662153E-2</v>
      </c>
    </row>
    <row r="178" spans="1:29" x14ac:dyDescent="0.15">
      <c r="A178" s="8" t="s">
        <v>321</v>
      </c>
      <c r="B178" s="8" t="s">
        <v>322</v>
      </c>
      <c r="C178" s="8" t="s">
        <v>345</v>
      </c>
      <c r="D178" s="8" t="s">
        <v>346</v>
      </c>
      <c r="E178" s="8" t="s">
        <v>17</v>
      </c>
      <c r="F178" s="8" t="s">
        <v>15</v>
      </c>
      <c r="G178" s="9">
        <v>3670387.17</v>
      </c>
      <c r="H178" s="43">
        <v>-837011.99250000005</v>
      </c>
      <c r="I178" s="43">
        <v>2833375.1775000002</v>
      </c>
      <c r="J178" s="47"/>
      <c r="K178" s="47"/>
      <c r="L178" s="47"/>
      <c r="M178" s="58"/>
      <c r="N178" s="58"/>
      <c r="O178" s="58"/>
      <c r="P178" s="58"/>
      <c r="Q178" s="58"/>
      <c r="R178" s="58"/>
      <c r="S178" s="40"/>
      <c r="T178" s="40"/>
      <c r="U178" s="40"/>
      <c r="V178" s="40"/>
      <c r="W178" s="25">
        <v>302</v>
      </c>
      <c r="X178" s="25">
        <v>307</v>
      </c>
      <c r="Y178" s="16">
        <v>329</v>
      </c>
      <c r="Z178" s="16">
        <v>359</v>
      </c>
      <c r="AA178" s="16">
        <v>390</v>
      </c>
      <c r="AB178" s="21">
        <f t="shared" si="89"/>
        <v>0.29139072847682118</v>
      </c>
      <c r="AC178" s="33">
        <f t="shared" si="90"/>
        <v>0.29345372460496616</v>
      </c>
    </row>
    <row r="179" spans="1:29" x14ac:dyDescent="0.15">
      <c r="A179" s="8" t="s">
        <v>321</v>
      </c>
      <c r="B179" s="8" t="s">
        <v>322</v>
      </c>
      <c r="C179" s="8" t="s">
        <v>359</v>
      </c>
      <c r="D179" s="8" t="s">
        <v>360</v>
      </c>
      <c r="E179" s="8" t="s">
        <v>17</v>
      </c>
      <c r="F179" s="8" t="s">
        <v>15</v>
      </c>
      <c r="G179" s="9">
        <v>3516616.34</v>
      </c>
      <c r="H179" s="43">
        <v>-409133.79749999999</v>
      </c>
      <c r="I179" s="43">
        <v>3107482.5425</v>
      </c>
      <c r="J179" s="47"/>
      <c r="K179" s="47"/>
      <c r="L179" s="47"/>
      <c r="M179" s="58"/>
      <c r="N179" s="58"/>
      <c r="O179" s="58"/>
      <c r="P179" s="58"/>
      <c r="Q179" s="58"/>
      <c r="R179" s="58"/>
      <c r="S179" s="40"/>
      <c r="T179" s="40"/>
      <c r="U179" s="40"/>
      <c r="V179" s="40"/>
      <c r="W179" s="25">
        <v>264</v>
      </c>
      <c r="X179" s="25">
        <v>282</v>
      </c>
      <c r="Y179" s="16">
        <v>277</v>
      </c>
      <c r="Z179" s="16">
        <v>279</v>
      </c>
      <c r="AA179" s="16">
        <v>285</v>
      </c>
      <c r="AB179" s="21">
        <f t="shared" si="89"/>
        <v>7.9545454545454544E-2</v>
      </c>
      <c r="AC179" s="33">
        <f t="shared" si="90"/>
        <v>0.2144469525959368</v>
      </c>
    </row>
    <row r="180" spans="1:29" x14ac:dyDescent="0.15">
      <c r="A180" s="8" t="s">
        <v>321</v>
      </c>
      <c r="B180" s="8" t="s">
        <v>322</v>
      </c>
      <c r="C180" s="8" t="s">
        <v>385</v>
      </c>
      <c r="D180" s="8" t="s">
        <v>386</v>
      </c>
      <c r="E180" s="8" t="s">
        <v>17</v>
      </c>
      <c r="F180" s="8" t="s">
        <v>15</v>
      </c>
      <c r="G180" s="9">
        <v>662815.43000000005</v>
      </c>
      <c r="H180" s="43">
        <v>-85805.297500000001</v>
      </c>
      <c r="I180" s="43">
        <v>577010.13249999995</v>
      </c>
      <c r="J180" s="47"/>
      <c r="K180" s="47"/>
      <c r="L180" s="47"/>
      <c r="M180" s="58"/>
      <c r="N180" s="58"/>
      <c r="O180" s="58"/>
      <c r="P180" s="58"/>
      <c r="Q180" s="58"/>
      <c r="R180" s="58"/>
      <c r="S180" s="40"/>
      <c r="T180" s="40"/>
      <c r="U180" s="40"/>
      <c r="V180" s="40"/>
      <c r="W180" s="25">
        <v>75</v>
      </c>
      <c r="X180" s="25">
        <v>82</v>
      </c>
      <c r="Y180" s="16">
        <v>95</v>
      </c>
      <c r="Z180" s="16">
        <v>91</v>
      </c>
      <c r="AA180" s="16">
        <v>76</v>
      </c>
      <c r="AB180" s="21">
        <f t="shared" si="89"/>
        <v>1.3333333333333334E-2</v>
      </c>
      <c r="AC180" s="33">
        <f t="shared" si="90"/>
        <v>5.7185854025583148E-2</v>
      </c>
    </row>
    <row r="181" spans="1:29" x14ac:dyDescent="0.15">
      <c r="A181" s="13"/>
      <c r="B181" s="5" t="s">
        <v>0</v>
      </c>
      <c r="C181" s="5" t="s">
        <v>0</v>
      </c>
      <c r="D181" s="5" t="s">
        <v>0</v>
      </c>
      <c r="E181" s="13" t="s">
        <v>86</v>
      </c>
      <c r="F181" s="13" t="s">
        <v>15</v>
      </c>
      <c r="G181" s="14">
        <v>160468.79999999999</v>
      </c>
      <c r="H181" s="44">
        <v>-112695.62</v>
      </c>
      <c r="I181" s="44">
        <v>47773.18</v>
      </c>
      <c r="J181" s="44"/>
      <c r="K181" s="44"/>
      <c r="L181" s="44"/>
      <c r="M181" s="59"/>
      <c r="N181" s="59"/>
      <c r="O181" s="59"/>
      <c r="P181" s="59"/>
      <c r="Q181" s="59"/>
      <c r="R181" s="59"/>
      <c r="S181" s="39"/>
      <c r="T181" s="39"/>
      <c r="U181" s="39"/>
      <c r="V181" s="39"/>
      <c r="W181" s="15">
        <f>+W182</f>
        <v>13</v>
      </c>
      <c r="X181" s="15">
        <f t="shared" ref="X181" si="91">+X182</f>
        <v>17</v>
      </c>
      <c r="Y181" s="15">
        <f t="shared" ref="Y181" si="92">+Y182</f>
        <v>20</v>
      </c>
      <c r="Z181" s="15">
        <f t="shared" ref="Z181" si="93">+Z182</f>
        <v>23</v>
      </c>
      <c r="AA181" s="15">
        <f t="shared" ref="AA181" si="94">+AA182</f>
        <v>21</v>
      </c>
      <c r="AB181" s="19">
        <f>+(AA181-W181)/W181</f>
        <v>0.61538461538461542</v>
      </c>
    </row>
    <row r="182" spans="1:29" x14ac:dyDescent="0.15">
      <c r="A182" s="8" t="s">
        <v>62</v>
      </c>
      <c r="B182" s="8" t="s">
        <v>63</v>
      </c>
      <c r="C182" s="8" t="s">
        <v>84</v>
      </c>
      <c r="D182" s="8" t="s">
        <v>85</v>
      </c>
      <c r="E182" s="8" t="s">
        <v>86</v>
      </c>
      <c r="F182" s="8" t="s">
        <v>15</v>
      </c>
      <c r="G182" s="9">
        <v>160468.79999999999</v>
      </c>
      <c r="H182" s="43">
        <v>-112695.62</v>
      </c>
      <c r="I182" s="43">
        <v>47773.18</v>
      </c>
      <c r="J182" s="47"/>
      <c r="K182" s="47"/>
      <c r="L182" s="47"/>
      <c r="M182" s="58"/>
      <c r="N182" s="58"/>
      <c r="O182" s="58"/>
      <c r="P182" s="58"/>
      <c r="Q182" s="58"/>
      <c r="R182" s="58"/>
      <c r="S182" s="40"/>
      <c r="T182" s="40"/>
      <c r="U182" s="40"/>
      <c r="V182" s="40"/>
      <c r="W182" s="16">
        <v>13</v>
      </c>
      <c r="X182" s="16">
        <v>17</v>
      </c>
      <c r="Y182" s="16">
        <v>20</v>
      </c>
      <c r="Z182" s="16">
        <v>23</v>
      </c>
      <c r="AA182" s="16">
        <v>21</v>
      </c>
      <c r="AB182" s="10"/>
    </row>
    <row r="183" spans="1:29" x14ac:dyDescent="0.15">
      <c r="A183" s="5"/>
      <c r="B183" s="5" t="s">
        <v>0</v>
      </c>
      <c r="C183" s="5" t="s">
        <v>0</v>
      </c>
      <c r="D183" s="5" t="s">
        <v>0</v>
      </c>
      <c r="E183" s="5" t="s">
        <v>24</v>
      </c>
      <c r="F183" s="5" t="s">
        <v>4</v>
      </c>
      <c r="G183" s="6">
        <v>846373.62</v>
      </c>
      <c r="H183" s="42">
        <v>-150297.43</v>
      </c>
      <c r="I183" s="42">
        <v>696076.19</v>
      </c>
      <c r="J183" s="42">
        <v>693053.43999999994</v>
      </c>
      <c r="K183" s="42">
        <v>-117127.93375816999</v>
      </c>
      <c r="L183" s="42">
        <f>+J183+K183</f>
        <v>575925.50624182995</v>
      </c>
      <c r="M183" s="57">
        <v>-908301.08</v>
      </c>
      <c r="N183" s="57"/>
      <c r="O183" s="57">
        <v>-19057.349999999999</v>
      </c>
      <c r="P183" s="57"/>
      <c r="Q183" s="57"/>
      <c r="R183" s="57">
        <f>+Q183+M183</f>
        <v>-908301.08</v>
      </c>
      <c r="S183" s="39">
        <f>+I183+R183</f>
        <v>-212224.89</v>
      </c>
      <c r="T183" s="39">
        <f>+L183+R183</f>
        <v>-332375.57375817001</v>
      </c>
      <c r="U183" s="39">
        <f>+I183+M183</f>
        <v>-212224.89</v>
      </c>
      <c r="V183" s="39">
        <f>+L183+M183</f>
        <v>-332375.57375817001</v>
      </c>
      <c r="W183" s="15">
        <f>SUM(W184:W185)</f>
        <v>84</v>
      </c>
      <c r="X183" s="15">
        <f t="shared" ref="X183" si="95">SUM(X184:X185)</f>
        <v>95</v>
      </c>
      <c r="Y183" s="15">
        <f t="shared" ref="Y183" si="96">SUM(Y184:Y185)</f>
        <v>89</v>
      </c>
      <c r="Z183" s="15">
        <f t="shared" ref="Z183" si="97">SUM(Z184:Z185)</f>
        <v>84</v>
      </c>
      <c r="AA183" s="15">
        <f t="shared" ref="AA183" si="98">SUM(AA184:AA185)</f>
        <v>81</v>
      </c>
      <c r="AB183" s="31">
        <f>+(AA183-W183)/W183</f>
        <v>-3.5714285714285712E-2</v>
      </c>
    </row>
    <row r="184" spans="1:29" x14ac:dyDescent="0.15">
      <c r="A184" s="8" t="s">
        <v>62</v>
      </c>
      <c r="B184" s="8" t="s">
        <v>195</v>
      </c>
      <c r="C184" s="8" t="s">
        <v>229</v>
      </c>
      <c r="D184" s="8" t="s">
        <v>230</v>
      </c>
      <c r="E184" s="8" t="s">
        <v>24</v>
      </c>
      <c r="F184" s="8" t="s">
        <v>4</v>
      </c>
      <c r="G184" s="9">
        <v>127078.23</v>
      </c>
      <c r="H184" s="43">
        <v>-49639.33</v>
      </c>
      <c r="I184" s="43">
        <v>77438.899999999994</v>
      </c>
      <c r="J184" s="47"/>
      <c r="K184" s="47"/>
      <c r="L184" s="47"/>
      <c r="M184" s="58"/>
      <c r="N184" s="58"/>
      <c r="O184" s="58"/>
      <c r="P184" s="58"/>
      <c r="Q184" s="58"/>
      <c r="R184" s="58"/>
      <c r="S184" s="40"/>
      <c r="T184" s="40"/>
      <c r="U184" s="40"/>
      <c r="V184" s="40"/>
      <c r="W184" s="25">
        <v>15</v>
      </c>
      <c r="X184" s="25">
        <v>17</v>
      </c>
      <c r="Y184" s="25">
        <v>15</v>
      </c>
      <c r="Z184" s="16">
        <v>17</v>
      </c>
      <c r="AA184" s="16">
        <v>18</v>
      </c>
      <c r="AB184" s="21">
        <f t="shared" ref="AB184:AB185" si="99">+(AA184-W184)/W184</f>
        <v>0.2</v>
      </c>
      <c r="AC184" s="33">
        <f>+AA184/AA183</f>
        <v>0.22222222222222221</v>
      </c>
    </row>
    <row r="185" spans="1:29" x14ac:dyDescent="0.15">
      <c r="A185" s="8" t="s">
        <v>321</v>
      </c>
      <c r="B185" s="8" t="s">
        <v>322</v>
      </c>
      <c r="C185" s="8" t="s">
        <v>351</v>
      </c>
      <c r="D185" s="8" t="s">
        <v>352</v>
      </c>
      <c r="E185" s="8" t="s">
        <v>24</v>
      </c>
      <c r="F185" s="8" t="s">
        <v>4</v>
      </c>
      <c r="G185" s="9">
        <v>719295.39</v>
      </c>
      <c r="H185" s="43">
        <v>-100658.1</v>
      </c>
      <c r="I185" s="43">
        <v>618637.29</v>
      </c>
      <c r="J185" s="47"/>
      <c r="K185" s="47"/>
      <c r="L185" s="47"/>
      <c r="M185" s="58"/>
      <c r="N185" s="58"/>
      <c r="O185" s="58"/>
      <c r="P185" s="58"/>
      <c r="Q185" s="58"/>
      <c r="R185" s="58"/>
      <c r="S185" s="40"/>
      <c r="T185" s="40"/>
      <c r="U185" s="40"/>
      <c r="V185" s="40"/>
      <c r="W185" s="25">
        <v>69</v>
      </c>
      <c r="X185" s="25">
        <v>78</v>
      </c>
      <c r="Y185" s="16">
        <v>74</v>
      </c>
      <c r="Z185" s="16">
        <v>67</v>
      </c>
      <c r="AA185" s="16">
        <v>63</v>
      </c>
      <c r="AB185" s="30">
        <f t="shared" si="99"/>
        <v>-8.6956521739130432E-2</v>
      </c>
      <c r="AC185" s="33">
        <f>+AA185/AA183</f>
        <v>0.77777777777777779</v>
      </c>
    </row>
    <row r="186" spans="1:29" x14ac:dyDescent="0.15">
      <c r="A186" s="5"/>
      <c r="B186" s="5" t="s">
        <v>0</v>
      </c>
      <c r="C186" s="5" t="s">
        <v>0</v>
      </c>
      <c r="D186" s="5" t="s">
        <v>0</v>
      </c>
      <c r="E186" s="5" t="s">
        <v>484</v>
      </c>
      <c r="F186" s="5" t="s">
        <v>4</v>
      </c>
      <c r="G186" s="6">
        <f>SUM(G187:G192)</f>
        <v>23482707.759999998</v>
      </c>
      <c r="H186" s="42">
        <f t="shared" ref="H186:I186" si="100">SUM(H187:H192)</f>
        <v>-2327708.6</v>
      </c>
      <c r="I186" s="6">
        <f t="shared" si="100"/>
        <v>21154999.16</v>
      </c>
      <c r="J186" s="42">
        <v>20641014.490000002</v>
      </c>
      <c r="K186" s="42">
        <v>-2011853.47997497</v>
      </c>
      <c r="L186" s="42">
        <f>+J186+K186</f>
        <v>18629161.010025032</v>
      </c>
      <c r="M186" s="57">
        <f>-9095211.6+4734.8+908301.08</f>
        <v>-8182175.7199999988</v>
      </c>
      <c r="N186" s="57">
        <v>-9075.7999999999993</v>
      </c>
      <c r="O186" s="57">
        <f>-13626.85-9658.94-92554.09-18686.96-14502.93-186436.05</f>
        <v>-335465.81999999995</v>
      </c>
      <c r="P186" s="57">
        <v>-245808.91</v>
      </c>
      <c r="Q186" s="57">
        <f>-256542.97</f>
        <v>-256542.97</v>
      </c>
      <c r="R186" s="57">
        <f>+Q186+M186</f>
        <v>-8438718.6899999995</v>
      </c>
      <c r="S186" s="39">
        <f>+I186+R186</f>
        <v>12716280.470000001</v>
      </c>
      <c r="T186" s="39">
        <f>+L186+R186</f>
        <v>10190442.320025032</v>
      </c>
      <c r="U186" s="39">
        <f>+I186+M186</f>
        <v>12972823.440000001</v>
      </c>
      <c r="V186" s="39">
        <f>+L186+M186</f>
        <v>10446985.290025033</v>
      </c>
      <c r="W186" s="15">
        <f>SUM(W187:W192)</f>
        <v>473</v>
      </c>
      <c r="X186" s="15">
        <f t="shared" ref="X186:AA186" si="101">SUM(X187:X192)</f>
        <v>475</v>
      </c>
      <c r="Y186" s="15">
        <f t="shared" si="101"/>
        <v>473</v>
      </c>
      <c r="Z186" s="15">
        <f t="shared" si="101"/>
        <v>467</v>
      </c>
      <c r="AA186" s="15">
        <f t="shared" si="101"/>
        <v>460</v>
      </c>
      <c r="AB186" s="31">
        <f>+(AA186-W186)/W186</f>
        <v>-2.748414376321353E-2</v>
      </c>
    </row>
    <row r="187" spans="1:29" x14ac:dyDescent="0.15">
      <c r="A187" s="8" t="s">
        <v>62</v>
      </c>
      <c r="B187" s="8" t="s">
        <v>148</v>
      </c>
      <c r="C187" s="8" t="s">
        <v>156</v>
      </c>
      <c r="D187" s="8" t="s">
        <v>157</v>
      </c>
      <c r="E187" s="8" t="s">
        <v>3</v>
      </c>
      <c r="F187" s="8" t="s">
        <v>4</v>
      </c>
      <c r="G187" s="9">
        <v>124873.92</v>
      </c>
      <c r="H187" s="43">
        <v>-85721.600000000006</v>
      </c>
      <c r="I187" s="43">
        <v>39152.32</v>
      </c>
      <c r="J187" s="47"/>
      <c r="K187" s="47"/>
      <c r="L187" s="47"/>
      <c r="M187" s="58"/>
      <c r="N187" s="58"/>
      <c r="O187" s="58"/>
      <c r="P187" s="58"/>
      <c r="Q187" s="58"/>
      <c r="R187" s="58"/>
      <c r="S187" s="40"/>
      <c r="T187" s="40"/>
      <c r="U187" s="40"/>
      <c r="V187" s="40"/>
      <c r="W187" s="16">
        <v>9</v>
      </c>
      <c r="X187" s="16">
        <v>5</v>
      </c>
      <c r="Y187" s="16">
        <v>6</v>
      </c>
      <c r="Z187" s="16">
        <v>5</v>
      </c>
      <c r="AA187" s="16">
        <v>4</v>
      </c>
      <c r="AB187" s="31">
        <f>+(AA187-W187)/W187</f>
        <v>-0.55555555555555558</v>
      </c>
      <c r="AC187" s="33">
        <f>+AA187/$AA$186</f>
        <v>8.6956521739130436E-3</v>
      </c>
    </row>
    <row r="188" spans="1:29" x14ac:dyDescent="0.15">
      <c r="A188" s="8" t="s">
        <v>62</v>
      </c>
      <c r="B188" s="8" t="s">
        <v>148</v>
      </c>
      <c r="C188" s="8" t="s">
        <v>158</v>
      </c>
      <c r="D188" s="8" t="s">
        <v>159</v>
      </c>
      <c r="E188" s="8" t="s">
        <v>28</v>
      </c>
      <c r="F188" s="8" t="s">
        <v>4</v>
      </c>
      <c r="G188" s="9">
        <v>124873.92</v>
      </c>
      <c r="H188" s="43">
        <v>-85721.600000000006</v>
      </c>
      <c r="I188" s="43">
        <v>39152.32</v>
      </c>
      <c r="J188" s="47"/>
      <c r="K188" s="47"/>
      <c r="L188" s="47"/>
      <c r="M188" s="58"/>
      <c r="N188" s="58"/>
      <c r="O188" s="58"/>
      <c r="P188" s="58"/>
      <c r="Q188" s="58"/>
      <c r="R188" s="58"/>
      <c r="S188" s="40"/>
      <c r="T188" s="40"/>
      <c r="U188" s="40"/>
      <c r="V188" s="40"/>
      <c r="W188" s="16">
        <v>5</v>
      </c>
      <c r="X188" s="16">
        <v>4</v>
      </c>
      <c r="Y188" s="16">
        <v>5</v>
      </c>
      <c r="Z188" s="16">
        <v>5</v>
      </c>
      <c r="AA188" s="16">
        <v>4</v>
      </c>
      <c r="AB188" s="51">
        <f t="shared" ref="AB188:AB192" si="102">+(AA188-W188)/W188</f>
        <v>-0.2</v>
      </c>
      <c r="AC188" s="33">
        <f t="shared" ref="AC188:AC192" si="103">+AA188/$AA$186</f>
        <v>8.6956521739130436E-3</v>
      </c>
    </row>
    <row r="189" spans="1:29" x14ac:dyDescent="0.15">
      <c r="A189" s="8" t="s">
        <v>62</v>
      </c>
      <c r="B189" s="8" t="s">
        <v>63</v>
      </c>
      <c r="C189" s="8" t="s">
        <v>99</v>
      </c>
      <c r="D189" s="8" t="s">
        <v>100</v>
      </c>
      <c r="E189" s="8" t="s">
        <v>43</v>
      </c>
      <c r="F189" s="8" t="s">
        <v>4</v>
      </c>
      <c r="G189" s="9">
        <v>12715.6</v>
      </c>
      <c r="H189" s="43">
        <v>-7546.8</v>
      </c>
      <c r="I189" s="43">
        <v>5168.8</v>
      </c>
      <c r="J189" s="47"/>
      <c r="K189" s="47"/>
      <c r="L189" s="47"/>
      <c r="M189" s="58"/>
      <c r="N189" s="58"/>
      <c r="O189" s="58"/>
      <c r="P189" s="58"/>
      <c r="Q189" s="58"/>
      <c r="R189" s="58"/>
      <c r="S189" s="40"/>
      <c r="T189" s="40"/>
      <c r="U189" s="40"/>
      <c r="V189" s="40"/>
      <c r="W189" s="16">
        <v>2</v>
      </c>
      <c r="X189" s="16">
        <v>2</v>
      </c>
      <c r="Y189" s="16">
        <v>3</v>
      </c>
      <c r="Z189" s="16">
        <v>3</v>
      </c>
      <c r="AA189" s="16">
        <v>2</v>
      </c>
      <c r="AB189" s="51">
        <f t="shared" si="102"/>
        <v>0</v>
      </c>
      <c r="AC189" s="33">
        <f t="shared" si="103"/>
        <v>4.3478260869565218E-3</v>
      </c>
    </row>
    <row r="190" spans="1:29" x14ac:dyDescent="0.15">
      <c r="A190" s="8" t="s">
        <v>62</v>
      </c>
      <c r="B190" s="8" t="s">
        <v>195</v>
      </c>
      <c r="C190" s="8" t="s">
        <v>277</v>
      </c>
      <c r="D190" s="8" t="s">
        <v>278</v>
      </c>
      <c r="E190" s="8" t="s">
        <v>43</v>
      </c>
      <c r="F190" s="8" t="s">
        <v>4</v>
      </c>
      <c r="G190" s="9">
        <v>245211.48</v>
      </c>
      <c r="H190" s="43">
        <v>-186012.79999999999</v>
      </c>
      <c r="I190" s="43">
        <v>59198.68</v>
      </c>
      <c r="J190" s="47"/>
      <c r="K190" s="47"/>
      <c r="L190" s="47"/>
      <c r="M190" s="58"/>
      <c r="N190" s="58"/>
      <c r="O190" s="58"/>
      <c r="P190" s="58"/>
      <c r="Q190" s="58"/>
      <c r="R190" s="58"/>
      <c r="S190" s="40"/>
      <c r="T190" s="40"/>
      <c r="U190" s="40"/>
      <c r="V190" s="40"/>
      <c r="W190" s="25">
        <v>14</v>
      </c>
      <c r="X190" s="25">
        <v>13</v>
      </c>
      <c r="Y190" s="25">
        <v>13</v>
      </c>
      <c r="Z190" s="16">
        <v>11</v>
      </c>
      <c r="AA190" s="16">
        <v>10</v>
      </c>
      <c r="AB190" s="51">
        <f t="shared" si="102"/>
        <v>-0.2857142857142857</v>
      </c>
      <c r="AC190" s="33">
        <f t="shared" si="103"/>
        <v>2.1739130434782608E-2</v>
      </c>
    </row>
    <row r="191" spans="1:29" x14ac:dyDescent="0.15">
      <c r="A191" s="8" t="s">
        <v>62</v>
      </c>
      <c r="B191" s="8" t="s">
        <v>148</v>
      </c>
      <c r="C191" s="8" t="s">
        <v>160</v>
      </c>
      <c r="D191" s="8" t="s">
        <v>161</v>
      </c>
      <c r="E191" s="8" t="s">
        <v>45</v>
      </c>
      <c r="F191" s="8" t="s">
        <v>4</v>
      </c>
      <c r="G191" s="9">
        <v>93655.44</v>
      </c>
      <c r="H191" s="43">
        <v>-64291.199999999997</v>
      </c>
      <c r="I191" s="43">
        <v>29364.240000000002</v>
      </c>
      <c r="J191" s="47"/>
      <c r="K191" s="47"/>
      <c r="L191" s="47"/>
      <c r="M191" s="58"/>
      <c r="N191" s="58"/>
      <c r="O191" s="58"/>
      <c r="P191" s="58"/>
      <c r="Q191" s="58"/>
      <c r="R191" s="58"/>
      <c r="S191" s="40"/>
      <c r="T191" s="40"/>
      <c r="U191" s="40"/>
      <c r="V191" s="40"/>
      <c r="W191" s="16">
        <v>6</v>
      </c>
      <c r="X191" s="16">
        <v>6</v>
      </c>
      <c r="Y191" s="16">
        <v>7</v>
      </c>
      <c r="Z191" s="16">
        <v>6</v>
      </c>
      <c r="AA191" s="16">
        <v>4</v>
      </c>
      <c r="AB191" s="51">
        <f t="shared" si="102"/>
        <v>-0.33333333333333331</v>
      </c>
      <c r="AC191" s="33">
        <f t="shared" si="103"/>
        <v>8.6956521739130436E-3</v>
      </c>
    </row>
    <row r="192" spans="1:29" x14ac:dyDescent="0.15">
      <c r="A192" s="8" t="s">
        <v>58</v>
      </c>
      <c r="B192" s="8" t="s">
        <v>59</v>
      </c>
      <c r="C192" s="8" t="s">
        <v>60</v>
      </c>
      <c r="D192" s="8" t="s">
        <v>61</v>
      </c>
      <c r="E192" s="8" t="s">
        <v>52</v>
      </c>
      <c r="F192" s="8" t="s">
        <v>4</v>
      </c>
      <c r="G192" s="9">
        <v>22881377.399999999</v>
      </c>
      <c r="H192" s="43">
        <v>-1898414.6</v>
      </c>
      <c r="I192" s="43">
        <v>20982962.800000001</v>
      </c>
      <c r="J192" s="47"/>
      <c r="K192" s="47"/>
      <c r="L192" s="47"/>
      <c r="M192" s="58"/>
      <c r="N192" s="58"/>
      <c r="O192" s="58"/>
      <c r="P192" s="58"/>
      <c r="Q192" s="58"/>
      <c r="R192" s="58"/>
      <c r="S192" s="40"/>
      <c r="T192" s="40"/>
      <c r="U192" s="40"/>
      <c r="V192" s="40"/>
      <c r="W192" s="16">
        <v>437</v>
      </c>
      <c r="X192" s="16">
        <v>445</v>
      </c>
      <c r="Y192" s="16">
        <v>439</v>
      </c>
      <c r="Z192" s="16">
        <v>437</v>
      </c>
      <c r="AA192" s="16">
        <v>436</v>
      </c>
      <c r="AB192" s="51">
        <f t="shared" si="102"/>
        <v>-2.2883295194508009E-3</v>
      </c>
      <c r="AC192" s="33">
        <f t="shared" si="103"/>
        <v>0.94782608695652171</v>
      </c>
    </row>
    <row r="193" spans="1:29" x14ac:dyDescent="0.15">
      <c r="A193" s="5"/>
      <c r="B193" s="5" t="s">
        <v>0</v>
      </c>
      <c r="C193" s="5" t="s">
        <v>0</v>
      </c>
      <c r="D193" s="5" t="s">
        <v>0</v>
      </c>
      <c r="E193" s="5" t="s">
        <v>19</v>
      </c>
      <c r="F193" s="5" t="s">
        <v>20</v>
      </c>
      <c r="G193" s="6">
        <v>1117563.73</v>
      </c>
      <c r="H193" s="42">
        <v>-177907.88</v>
      </c>
      <c r="I193" s="42">
        <v>939655.85</v>
      </c>
      <c r="J193" s="42">
        <v>1500543</v>
      </c>
      <c r="K193" s="42">
        <v>-339782</v>
      </c>
      <c r="L193" s="42">
        <f>+J193+K193</f>
        <v>1160761</v>
      </c>
      <c r="M193" s="57">
        <f>-895537.53-75928.24</f>
        <v>-971465.77</v>
      </c>
      <c r="N193" s="57"/>
      <c r="O193" s="57">
        <v>-28749.22</v>
      </c>
      <c r="P193" s="57"/>
      <c r="Q193" s="57"/>
      <c r="R193" s="57">
        <f>+Q193+M193</f>
        <v>-971465.77</v>
      </c>
      <c r="S193" s="39">
        <f>+I193+R193</f>
        <v>-31809.920000000042</v>
      </c>
      <c r="T193" s="39">
        <f>+L193+R193</f>
        <v>189295.22999999998</v>
      </c>
      <c r="U193" s="39">
        <f>+I193+M193</f>
        <v>-31809.920000000042</v>
      </c>
      <c r="V193" s="39">
        <f>+L193+M193</f>
        <v>189295.22999999998</v>
      </c>
      <c r="W193" s="15">
        <f>SUM(W194:W197)</f>
        <v>172</v>
      </c>
      <c r="X193" s="15">
        <f t="shared" ref="X193:AA193" si="104">SUM(X194:X197)</f>
        <v>168</v>
      </c>
      <c r="Y193" s="15">
        <f t="shared" si="104"/>
        <v>186</v>
      </c>
      <c r="Z193" s="15">
        <f t="shared" si="104"/>
        <v>202</v>
      </c>
      <c r="AA193" s="15">
        <f t="shared" si="104"/>
        <v>184</v>
      </c>
      <c r="AB193" s="19">
        <f>+(AA193-W193)/W193</f>
        <v>6.9767441860465115E-2</v>
      </c>
    </row>
    <row r="194" spans="1:29" x14ac:dyDescent="0.15">
      <c r="A194" s="8" t="s">
        <v>62</v>
      </c>
      <c r="B194" s="8" t="s">
        <v>195</v>
      </c>
      <c r="C194" s="8" t="s">
        <v>219</v>
      </c>
      <c r="D194" s="8" t="s">
        <v>220</v>
      </c>
      <c r="E194" s="8" t="s">
        <v>19</v>
      </c>
      <c r="F194" s="8" t="s">
        <v>20</v>
      </c>
      <c r="G194" s="9">
        <v>56466</v>
      </c>
      <c r="H194" s="43"/>
      <c r="I194" s="43">
        <v>56466</v>
      </c>
      <c r="J194" s="47"/>
      <c r="K194" s="47"/>
      <c r="L194" s="47"/>
      <c r="M194" s="58"/>
      <c r="N194" s="58"/>
      <c r="O194" s="58"/>
      <c r="P194" s="58"/>
      <c r="Q194" s="58"/>
      <c r="R194" s="58"/>
      <c r="S194" s="40"/>
      <c r="T194" s="40"/>
      <c r="U194" s="40"/>
      <c r="V194" s="40"/>
      <c r="W194" s="25">
        <v>122</v>
      </c>
      <c r="X194" s="25">
        <v>120</v>
      </c>
      <c r="Y194" s="25">
        <v>92</v>
      </c>
      <c r="Z194" s="16">
        <v>55</v>
      </c>
      <c r="AA194" s="16">
        <v>11</v>
      </c>
      <c r="AB194" s="30">
        <f t="shared" ref="AB194:AB195" si="105">+(AA194-W194)/W194</f>
        <v>-0.9098360655737705</v>
      </c>
      <c r="AC194" s="33">
        <f>+AA194/AA193</f>
        <v>5.9782608695652176E-2</v>
      </c>
    </row>
    <row r="195" spans="1:29" x14ac:dyDescent="0.15">
      <c r="A195" s="8" t="s">
        <v>62</v>
      </c>
      <c r="B195" s="8" t="s">
        <v>117</v>
      </c>
      <c r="C195" s="8" t="s">
        <v>121</v>
      </c>
      <c r="D195" s="8" t="s">
        <v>122</v>
      </c>
      <c r="E195" s="8" t="s">
        <v>19</v>
      </c>
      <c r="F195" s="8" t="s">
        <v>20</v>
      </c>
      <c r="G195" s="9">
        <v>185275.83</v>
      </c>
      <c r="H195" s="43">
        <v>-161780.78</v>
      </c>
      <c r="I195" s="43">
        <v>23495.05</v>
      </c>
      <c r="J195" s="47"/>
      <c r="K195" s="47"/>
      <c r="L195" s="47"/>
      <c r="M195" s="58"/>
      <c r="N195" s="58"/>
      <c r="O195" s="58"/>
      <c r="P195" s="58"/>
      <c r="Q195" s="58"/>
      <c r="R195" s="58"/>
      <c r="S195" s="40"/>
      <c r="T195" s="40"/>
      <c r="U195" s="40"/>
      <c r="V195" s="40"/>
      <c r="W195" s="25">
        <v>43</v>
      </c>
      <c r="X195" s="25">
        <v>43</v>
      </c>
      <c r="Y195" s="25">
        <v>43</v>
      </c>
      <c r="Z195" s="16">
        <v>39</v>
      </c>
      <c r="AA195" s="16">
        <v>32</v>
      </c>
      <c r="AB195" s="30">
        <f t="shared" si="105"/>
        <v>-0.2558139534883721</v>
      </c>
      <c r="AC195" s="33">
        <f>+AA195/AA193</f>
        <v>0.17391304347826086</v>
      </c>
    </row>
    <row r="196" spans="1:29" x14ac:dyDescent="0.15">
      <c r="A196" s="8" t="s">
        <v>62</v>
      </c>
      <c r="B196" s="8" t="s">
        <v>195</v>
      </c>
      <c r="C196" s="8" t="s">
        <v>221</v>
      </c>
      <c r="D196" s="8" t="s">
        <v>222</v>
      </c>
      <c r="E196" s="8" t="s">
        <v>19</v>
      </c>
      <c r="F196" s="8" t="s">
        <v>20</v>
      </c>
      <c r="G196" s="9">
        <v>873330.7</v>
      </c>
      <c r="H196" s="43">
        <v>-16127.1</v>
      </c>
      <c r="I196" s="43">
        <v>857203.6</v>
      </c>
      <c r="J196" s="47"/>
      <c r="K196" s="47"/>
      <c r="L196" s="47"/>
      <c r="M196" s="58"/>
      <c r="N196" s="58"/>
      <c r="O196" s="58"/>
      <c r="P196" s="58"/>
      <c r="Q196" s="58"/>
      <c r="R196" s="58"/>
      <c r="S196" s="40"/>
      <c r="T196" s="40"/>
      <c r="U196" s="40"/>
      <c r="V196" s="40"/>
      <c r="W196" s="16"/>
      <c r="X196" s="16"/>
      <c r="Y196" s="16">
        <v>46</v>
      </c>
      <c r="Z196" s="16">
        <v>105</v>
      </c>
      <c r="AA196" s="16">
        <v>138</v>
      </c>
      <c r="AB196" s="20">
        <f t="shared" ref="AB196:AB197" si="106">+(AA196-Y196)/Y196</f>
        <v>2</v>
      </c>
      <c r="AC196" s="33">
        <f>+AA196/AA193</f>
        <v>0.75</v>
      </c>
    </row>
    <row r="197" spans="1:29" x14ac:dyDescent="0.15">
      <c r="A197" s="8" t="s">
        <v>62</v>
      </c>
      <c r="B197" s="8" t="s">
        <v>139</v>
      </c>
      <c r="C197" s="8" t="s">
        <v>140</v>
      </c>
      <c r="D197" s="8" t="s">
        <v>141</v>
      </c>
      <c r="E197" s="8" t="s">
        <v>19</v>
      </c>
      <c r="F197" s="8" t="s">
        <v>20</v>
      </c>
      <c r="G197" s="9">
        <v>2491.1999999999998</v>
      </c>
      <c r="H197" s="43"/>
      <c r="I197" s="43">
        <v>2491.1999999999998</v>
      </c>
      <c r="J197" s="47"/>
      <c r="K197" s="47"/>
      <c r="L197" s="47"/>
      <c r="M197" s="58"/>
      <c r="N197" s="58"/>
      <c r="O197" s="58"/>
      <c r="P197" s="58"/>
      <c r="Q197" s="58"/>
      <c r="R197" s="58"/>
      <c r="S197" s="40"/>
      <c r="T197" s="40"/>
      <c r="U197" s="40"/>
      <c r="V197" s="40"/>
      <c r="W197" s="25">
        <v>7</v>
      </c>
      <c r="X197" s="25">
        <v>5</v>
      </c>
      <c r="Y197" s="25">
        <f>3+2</f>
        <v>5</v>
      </c>
      <c r="Z197" s="16">
        <v>3</v>
      </c>
      <c r="AA197" s="16">
        <v>3</v>
      </c>
      <c r="AB197" s="30">
        <f t="shared" si="106"/>
        <v>-0.4</v>
      </c>
      <c r="AC197" s="33">
        <f>+AA197/AA193</f>
        <v>1.6304347826086956E-2</v>
      </c>
    </row>
    <row r="198" spans="1:29" x14ac:dyDescent="0.15">
      <c r="A198" s="5"/>
      <c r="B198" s="5" t="s">
        <v>0</v>
      </c>
      <c r="C198" s="5" t="s">
        <v>0</v>
      </c>
      <c r="D198" s="5" t="s">
        <v>0</v>
      </c>
      <c r="E198" s="5" t="s">
        <v>27</v>
      </c>
      <c r="F198" s="5" t="s">
        <v>20</v>
      </c>
      <c r="G198" s="6">
        <v>670652.32999999996</v>
      </c>
      <c r="H198" s="42">
        <v>-302839.71000000002</v>
      </c>
      <c r="I198" s="42">
        <v>367812.62</v>
      </c>
      <c r="J198" s="42">
        <v>838385</v>
      </c>
      <c r="K198" s="42">
        <v>-198810.60392857101</v>
      </c>
      <c r="L198" s="42">
        <f>+J198+K198</f>
        <v>639574.39607142902</v>
      </c>
      <c r="M198" s="57">
        <f>-898549.92-2971.15</f>
        <v>-901521.07000000007</v>
      </c>
      <c r="N198" s="57"/>
      <c r="O198" s="57">
        <v>-13132.96</v>
      </c>
      <c r="P198" s="57"/>
      <c r="Q198" s="57">
        <v>-79030.070000000007</v>
      </c>
      <c r="R198" s="57">
        <f>+Q198+M198</f>
        <v>-980551.14000000013</v>
      </c>
      <c r="S198" s="39">
        <f>+I198+R198</f>
        <v>-612738.52000000014</v>
      </c>
      <c r="T198" s="39">
        <f>+L198+R198</f>
        <v>-340976.74392857112</v>
      </c>
      <c r="U198" s="39">
        <f>+I198+M198</f>
        <v>-533708.45000000007</v>
      </c>
      <c r="V198" s="39">
        <f>+L198+M198</f>
        <v>-261946.67392857105</v>
      </c>
      <c r="W198" s="15">
        <f>SUM(W199:W202)</f>
        <v>239</v>
      </c>
      <c r="X198" s="15">
        <f t="shared" ref="X198:AA198" si="107">SUM(X199:X202)</f>
        <v>206</v>
      </c>
      <c r="Y198" s="15">
        <f t="shared" si="107"/>
        <v>219</v>
      </c>
      <c r="Z198" s="15">
        <f t="shared" si="107"/>
        <v>198</v>
      </c>
      <c r="AA198" s="15">
        <f t="shared" si="107"/>
        <v>169</v>
      </c>
      <c r="AB198" s="31">
        <f>+(AA198-W198)/W198</f>
        <v>-0.29288702928870292</v>
      </c>
    </row>
    <row r="199" spans="1:29" x14ac:dyDescent="0.15">
      <c r="A199" s="8" t="s">
        <v>62</v>
      </c>
      <c r="B199" s="8" t="s">
        <v>63</v>
      </c>
      <c r="C199" s="8" t="s">
        <v>80</v>
      </c>
      <c r="D199" s="8" t="s">
        <v>81</v>
      </c>
      <c r="E199" s="8" t="s">
        <v>27</v>
      </c>
      <c r="F199" s="8" t="s">
        <v>20</v>
      </c>
      <c r="G199" s="9">
        <v>38180.400000000001</v>
      </c>
      <c r="H199" s="43">
        <v>-8352.0499999999993</v>
      </c>
      <c r="I199" s="43">
        <v>29828.35</v>
      </c>
      <c r="J199" s="47"/>
      <c r="K199" s="47"/>
      <c r="L199" s="47"/>
      <c r="M199" s="58"/>
      <c r="N199" s="58"/>
      <c r="O199" s="58"/>
      <c r="P199" s="58"/>
      <c r="Q199" s="58"/>
      <c r="R199" s="58"/>
      <c r="S199" s="40"/>
      <c r="T199" s="40"/>
      <c r="U199" s="40"/>
      <c r="V199" s="40"/>
      <c r="W199" s="16">
        <v>37</v>
      </c>
      <c r="X199" s="16">
        <v>37</v>
      </c>
      <c r="Y199" s="16">
        <v>31</v>
      </c>
      <c r="Z199" s="16">
        <v>31</v>
      </c>
      <c r="AA199" s="16">
        <v>28</v>
      </c>
      <c r="AB199" s="30">
        <f t="shared" ref="AB199:AB202" si="108">+(AA199-W199)/W199</f>
        <v>-0.24324324324324326</v>
      </c>
      <c r="AC199" s="33">
        <f>+AA199/AA198</f>
        <v>0.16568047337278108</v>
      </c>
    </row>
    <row r="200" spans="1:29" x14ac:dyDescent="0.15">
      <c r="A200" s="8" t="s">
        <v>62</v>
      </c>
      <c r="B200" s="8" t="s">
        <v>139</v>
      </c>
      <c r="C200" s="8" t="s">
        <v>144</v>
      </c>
      <c r="D200" s="8" t="s">
        <v>145</v>
      </c>
      <c r="E200" s="8" t="s">
        <v>27</v>
      </c>
      <c r="F200" s="8" t="s">
        <v>20</v>
      </c>
      <c r="G200" s="9">
        <v>109813.8</v>
      </c>
      <c r="H200" s="43">
        <v>-6986.7</v>
      </c>
      <c r="I200" s="43">
        <v>102827.1</v>
      </c>
      <c r="J200" s="47"/>
      <c r="K200" s="47"/>
      <c r="L200" s="47"/>
      <c r="M200" s="58"/>
      <c r="N200" s="58"/>
      <c r="O200" s="58"/>
      <c r="P200" s="58"/>
      <c r="Q200" s="58"/>
      <c r="R200" s="58"/>
      <c r="S200" s="40"/>
      <c r="T200" s="40"/>
      <c r="U200" s="40"/>
      <c r="V200" s="40"/>
      <c r="W200" s="25">
        <v>49</v>
      </c>
      <c r="X200" s="25">
        <v>32</v>
      </c>
      <c r="Y200" s="25">
        <v>37</v>
      </c>
      <c r="Z200" s="16">
        <v>35</v>
      </c>
      <c r="AA200" s="16">
        <v>33</v>
      </c>
      <c r="AB200" s="30">
        <f t="shared" si="108"/>
        <v>-0.32653061224489793</v>
      </c>
      <c r="AC200" s="33">
        <f>+AA200/AA198</f>
        <v>0.19526627218934911</v>
      </c>
    </row>
    <row r="201" spans="1:29" x14ac:dyDescent="0.15">
      <c r="A201" s="8" t="s">
        <v>62</v>
      </c>
      <c r="B201" s="8" t="s">
        <v>195</v>
      </c>
      <c r="C201" s="8" t="s">
        <v>233</v>
      </c>
      <c r="D201" s="8" t="s">
        <v>234</v>
      </c>
      <c r="E201" s="8" t="s">
        <v>27</v>
      </c>
      <c r="F201" s="8" t="s">
        <v>20</v>
      </c>
      <c r="G201" s="9">
        <v>414743.23</v>
      </c>
      <c r="H201" s="43">
        <v>-282492.86</v>
      </c>
      <c r="I201" s="43">
        <v>132250.37</v>
      </c>
      <c r="J201" s="47"/>
      <c r="K201" s="47"/>
      <c r="L201" s="47"/>
      <c r="M201" s="58"/>
      <c r="N201" s="58"/>
      <c r="O201" s="58"/>
      <c r="P201" s="58"/>
      <c r="Q201" s="58"/>
      <c r="R201" s="58"/>
      <c r="S201" s="40"/>
      <c r="T201" s="40"/>
      <c r="U201" s="40"/>
      <c r="V201" s="40"/>
      <c r="W201" s="25">
        <v>87</v>
      </c>
      <c r="X201" s="25">
        <v>83</v>
      </c>
      <c r="Y201" s="25">
        <v>80</v>
      </c>
      <c r="Z201" s="16">
        <v>75</v>
      </c>
      <c r="AA201" s="16">
        <v>61</v>
      </c>
      <c r="AB201" s="30">
        <f t="shared" si="108"/>
        <v>-0.2988505747126437</v>
      </c>
      <c r="AC201" s="33">
        <f>+AA201/AA198</f>
        <v>0.36094674556213019</v>
      </c>
    </row>
    <row r="202" spans="1:29" x14ac:dyDescent="0.15">
      <c r="A202" s="8" t="s">
        <v>62</v>
      </c>
      <c r="B202" s="8" t="s">
        <v>117</v>
      </c>
      <c r="C202" s="8" t="s">
        <v>123</v>
      </c>
      <c r="D202" s="8" t="s">
        <v>124</v>
      </c>
      <c r="E202" s="8" t="s">
        <v>27</v>
      </c>
      <c r="F202" s="8" t="s">
        <v>20</v>
      </c>
      <c r="G202" s="9">
        <v>107914.9</v>
      </c>
      <c r="H202" s="43">
        <v>-5008.1000000000004</v>
      </c>
      <c r="I202" s="43">
        <v>102906.8</v>
      </c>
      <c r="J202" s="47"/>
      <c r="K202" s="47"/>
      <c r="L202" s="47"/>
      <c r="M202" s="58"/>
      <c r="N202" s="58"/>
      <c r="O202" s="58"/>
      <c r="P202" s="58"/>
      <c r="Q202" s="58"/>
      <c r="R202" s="58"/>
      <c r="S202" s="40"/>
      <c r="T202" s="40"/>
      <c r="U202" s="40"/>
      <c r="V202" s="40"/>
      <c r="W202" s="25">
        <v>66</v>
      </c>
      <c r="X202" s="25">
        <v>54</v>
      </c>
      <c r="Y202" s="25">
        <v>71</v>
      </c>
      <c r="Z202" s="16">
        <v>57</v>
      </c>
      <c r="AA202" s="16">
        <v>47</v>
      </c>
      <c r="AB202" s="30">
        <f t="shared" si="108"/>
        <v>-0.2878787878787879</v>
      </c>
      <c r="AC202" s="33">
        <f>+AA202/AA198</f>
        <v>0.27810650887573962</v>
      </c>
    </row>
    <row r="203" spans="1:29" x14ac:dyDescent="0.15">
      <c r="A203" s="5"/>
      <c r="B203" s="5" t="s">
        <v>0</v>
      </c>
      <c r="C203" s="5" t="s">
        <v>0</v>
      </c>
      <c r="D203" s="5" t="s">
        <v>0</v>
      </c>
      <c r="E203" s="5" t="s">
        <v>55</v>
      </c>
      <c r="F203" s="5" t="s">
        <v>20</v>
      </c>
      <c r="G203" s="6">
        <f>SUM(G204:G219)</f>
        <v>2879498.59</v>
      </c>
      <c r="H203" s="42">
        <f>SUM(H204:H219)</f>
        <v>-346461.63249999995</v>
      </c>
      <c r="I203" s="6">
        <f>SUM(I204:I219)</f>
        <v>2533036.9575</v>
      </c>
      <c r="J203" s="42">
        <v>2573339</v>
      </c>
      <c r="K203" s="42">
        <v>-355928.060496216</v>
      </c>
      <c r="L203" s="42">
        <f>+J203+K203</f>
        <v>2217410.9395037838</v>
      </c>
      <c r="M203" s="57">
        <v>-1106561.21</v>
      </c>
      <c r="N203" s="57"/>
      <c r="O203" s="57">
        <v>-13356.02</v>
      </c>
      <c r="P203" s="57">
        <v>-30108.06</v>
      </c>
      <c r="Q203" s="57">
        <f>-226676.83-134.56</f>
        <v>-226811.38999999998</v>
      </c>
      <c r="R203" s="57">
        <f>+Q203+M203</f>
        <v>-1333372.5999999999</v>
      </c>
      <c r="S203" s="39">
        <f>+I203+R203</f>
        <v>1199664.3575000002</v>
      </c>
      <c r="T203" s="39">
        <f>+L203+R203</f>
        <v>884038.33950378397</v>
      </c>
      <c r="U203" s="39">
        <f>+I203+M203</f>
        <v>1426475.7475000001</v>
      </c>
      <c r="V203" s="39">
        <f>+L203+M203</f>
        <v>1110849.7295037839</v>
      </c>
      <c r="W203" s="15">
        <f>SUM(W204:W219)</f>
        <v>788</v>
      </c>
      <c r="X203" s="15">
        <f t="shared" ref="X203:AA203" si="109">SUM(X204:X219)</f>
        <v>593</v>
      </c>
      <c r="Y203" s="15">
        <f t="shared" si="109"/>
        <v>489</v>
      </c>
      <c r="Z203" s="15">
        <f t="shared" si="109"/>
        <v>448</v>
      </c>
      <c r="AA203" s="15">
        <f t="shared" si="109"/>
        <v>487</v>
      </c>
      <c r="AB203" s="31">
        <f>+(AA203-W203)/W203</f>
        <v>-0.38197969543147209</v>
      </c>
    </row>
    <row r="204" spans="1:29" x14ac:dyDescent="0.15">
      <c r="A204" s="8" t="s">
        <v>62</v>
      </c>
      <c r="B204" s="8" t="s">
        <v>139</v>
      </c>
      <c r="C204" s="8" t="s">
        <v>142</v>
      </c>
      <c r="D204" s="8" t="s">
        <v>143</v>
      </c>
      <c r="E204" s="8" t="s">
        <v>55</v>
      </c>
      <c r="F204" s="8" t="s">
        <v>20</v>
      </c>
      <c r="G204" s="9">
        <v>36472.800000000003</v>
      </c>
      <c r="H204" s="43"/>
      <c r="I204" s="43">
        <v>36472.800000000003</v>
      </c>
      <c r="J204" s="47"/>
      <c r="K204" s="47"/>
      <c r="L204" s="47"/>
      <c r="M204" s="58"/>
      <c r="N204" s="58"/>
      <c r="O204" s="58"/>
      <c r="P204" s="58"/>
      <c r="Q204" s="58"/>
      <c r="R204" s="58"/>
      <c r="S204" s="40"/>
      <c r="T204" s="40"/>
      <c r="U204" s="40"/>
      <c r="V204" s="40"/>
      <c r="W204" s="25">
        <v>13</v>
      </c>
      <c r="X204" s="25">
        <v>10</v>
      </c>
      <c r="Y204" s="25">
        <v>8</v>
      </c>
      <c r="Z204" s="16">
        <v>17</v>
      </c>
      <c r="AA204" s="16">
        <v>18</v>
      </c>
      <c r="AB204" s="21">
        <f t="shared" ref="AB204:AB219" si="110">+(AA204-W204)/W204</f>
        <v>0.38461538461538464</v>
      </c>
      <c r="AC204" s="33">
        <f>+AA204/AA203</f>
        <v>3.6960985626283367E-2</v>
      </c>
    </row>
    <row r="205" spans="1:29" x14ac:dyDescent="0.15">
      <c r="A205" s="8" t="s">
        <v>62</v>
      </c>
      <c r="B205" s="8" t="s">
        <v>195</v>
      </c>
      <c r="C205" s="8" t="s">
        <v>227</v>
      </c>
      <c r="D205" s="8" t="s">
        <v>228</v>
      </c>
      <c r="E205" s="8" t="s">
        <v>55</v>
      </c>
      <c r="F205" s="8" t="s">
        <v>20</v>
      </c>
      <c r="G205" s="9">
        <v>478222.7</v>
      </c>
      <c r="H205" s="43">
        <v>-34319.699999999997</v>
      </c>
      <c r="I205" s="43">
        <v>443903</v>
      </c>
      <c r="J205" s="47"/>
      <c r="K205" s="47"/>
      <c r="L205" s="47"/>
      <c r="M205" s="58"/>
      <c r="N205" s="58"/>
      <c r="O205" s="58"/>
      <c r="P205" s="58"/>
      <c r="Q205" s="58"/>
      <c r="R205" s="58"/>
      <c r="S205" s="40"/>
      <c r="T205" s="40"/>
      <c r="U205" s="40"/>
      <c r="V205" s="40"/>
      <c r="W205" s="25">
        <v>208</v>
      </c>
      <c r="X205" s="25">
        <v>121</v>
      </c>
      <c r="Y205" s="25">
        <v>74</v>
      </c>
      <c r="Z205" s="16">
        <v>62</v>
      </c>
      <c r="AA205" s="16">
        <v>100</v>
      </c>
      <c r="AB205" s="30">
        <f t="shared" si="110"/>
        <v>-0.51923076923076927</v>
      </c>
      <c r="AC205" s="33">
        <f>+AA205/AA203</f>
        <v>0.20533880903490759</v>
      </c>
    </row>
    <row r="206" spans="1:29" x14ac:dyDescent="0.15">
      <c r="A206" s="8" t="s">
        <v>62</v>
      </c>
      <c r="B206" s="8" t="s">
        <v>63</v>
      </c>
      <c r="C206" s="8" t="s">
        <v>76</v>
      </c>
      <c r="D206" s="8" t="s">
        <v>77</v>
      </c>
      <c r="E206" s="8" t="s">
        <v>55</v>
      </c>
      <c r="F206" s="8" t="s">
        <v>20</v>
      </c>
      <c r="G206" s="9">
        <v>88546.3</v>
      </c>
      <c r="H206" s="43">
        <v>-34047.800000000003</v>
      </c>
      <c r="I206" s="43">
        <v>54498.5</v>
      </c>
      <c r="J206" s="47"/>
      <c r="K206" s="47"/>
      <c r="L206" s="47"/>
      <c r="M206" s="58"/>
      <c r="N206" s="58"/>
      <c r="O206" s="58"/>
      <c r="P206" s="58"/>
      <c r="Q206" s="58"/>
      <c r="R206" s="58"/>
      <c r="S206" s="40"/>
      <c r="T206" s="40"/>
      <c r="U206" s="40"/>
      <c r="V206" s="40"/>
      <c r="W206" s="16">
        <v>26</v>
      </c>
      <c r="X206" s="16">
        <v>23</v>
      </c>
      <c r="Y206" s="16">
        <v>27</v>
      </c>
      <c r="Z206" s="16">
        <v>25</v>
      </c>
      <c r="AA206" s="16">
        <v>20</v>
      </c>
      <c r="AB206" s="30">
        <f t="shared" si="110"/>
        <v>-0.23076923076923078</v>
      </c>
      <c r="AC206" s="33">
        <f>+AA206/$AA$203</f>
        <v>4.1067761806981518E-2</v>
      </c>
    </row>
    <row r="207" spans="1:29" x14ac:dyDescent="0.15">
      <c r="A207" s="8" t="s">
        <v>62</v>
      </c>
      <c r="B207" s="8" t="s">
        <v>195</v>
      </c>
      <c r="C207" s="8" t="s">
        <v>250</v>
      </c>
      <c r="D207" s="8" t="s">
        <v>251</v>
      </c>
      <c r="E207" s="8" t="s">
        <v>55</v>
      </c>
      <c r="F207" s="8" t="s">
        <v>20</v>
      </c>
      <c r="G207" s="9">
        <v>23965.200000000001</v>
      </c>
      <c r="H207" s="43"/>
      <c r="I207" s="43">
        <v>23965.200000000001</v>
      </c>
      <c r="J207" s="47"/>
      <c r="K207" s="47"/>
      <c r="L207" s="47"/>
      <c r="M207" s="58"/>
      <c r="N207" s="58"/>
      <c r="O207" s="58"/>
      <c r="P207" s="58"/>
      <c r="Q207" s="58"/>
      <c r="R207" s="58"/>
      <c r="S207" s="40"/>
      <c r="T207" s="40"/>
      <c r="U207" s="40"/>
      <c r="V207" s="40"/>
      <c r="W207" s="25">
        <v>21</v>
      </c>
      <c r="X207" s="25">
        <v>16</v>
      </c>
      <c r="Y207" s="25">
        <v>17</v>
      </c>
      <c r="Z207" s="16">
        <v>12</v>
      </c>
      <c r="AA207" s="16">
        <v>6</v>
      </c>
      <c r="AB207" s="30">
        <f t="shared" si="110"/>
        <v>-0.7142857142857143</v>
      </c>
      <c r="AC207" s="33">
        <f t="shared" ref="AC207:AC219" si="111">+AA207/$AA$203</f>
        <v>1.2320328542094456E-2</v>
      </c>
    </row>
    <row r="208" spans="1:29" s="11" customFormat="1" x14ac:dyDescent="0.15">
      <c r="A208" s="8" t="s">
        <v>62</v>
      </c>
      <c r="B208" s="8" t="s">
        <v>139</v>
      </c>
      <c r="C208" s="8" t="s">
        <v>146</v>
      </c>
      <c r="D208" s="8" t="s">
        <v>147</v>
      </c>
      <c r="E208" s="8" t="s">
        <v>55</v>
      </c>
      <c r="F208" s="8" t="s">
        <v>20</v>
      </c>
      <c r="G208" s="9">
        <v>54373.5</v>
      </c>
      <c r="H208" s="43"/>
      <c r="I208" s="43">
        <v>54373.5</v>
      </c>
      <c r="J208" s="47"/>
      <c r="K208" s="47"/>
      <c r="L208" s="47"/>
      <c r="M208" s="58"/>
      <c r="N208" s="58"/>
      <c r="O208" s="58"/>
      <c r="P208" s="58"/>
      <c r="Q208" s="58"/>
      <c r="R208" s="58"/>
      <c r="S208" s="40"/>
      <c r="T208" s="40"/>
      <c r="U208" s="40"/>
      <c r="V208" s="40"/>
      <c r="W208" s="25">
        <v>19</v>
      </c>
      <c r="X208" s="25">
        <v>16</v>
      </c>
      <c r="Y208" s="25">
        <v>16</v>
      </c>
      <c r="Z208" s="16">
        <v>19</v>
      </c>
      <c r="AA208" s="16">
        <v>16</v>
      </c>
      <c r="AB208" s="30">
        <f t="shared" si="110"/>
        <v>-0.15789473684210525</v>
      </c>
      <c r="AC208" s="33">
        <f t="shared" si="111"/>
        <v>3.2854209445585217E-2</v>
      </c>
    </row>
    <row r="209" spans="1:29" s="11" customFormat="1" x14ac:dyDescent="0.15">
      <c r="A209" s="8" t="s">
        <v>62</v>
      </c>
      <c r="B209" s="8" t="s">
        <v>148</v>
      </c>
      <c r="C209" s="8" t="s">
        <v>191</v>
      </c>
      <c r="D209" s="8" t="s">
        <v>192</v>
      </c>
      <c r="E209" s="8" t="s">
        <v>55</v>
      </c>
      <c r="F209" s="8" t="s">
        <v>20</v>
      </c>
      <c r="G209" s="9">
        <v>9140.4</v>
      </c>
      <c r="H209" s="43"/>
      <c r="I209" s="43">
        <v>9140.4</v>
      </c>
      <c r="J209" s="47"/>
      <c r="K209" s="47"/>
      <c r="L209" s="47"/>
      <c r="M209" s="58"/>
      <c r="N209" s="58"/>
      <c r="O209" s="58"/>
      <c r="P209" s="58"/>
      <c r="Q209" s="58"/>
      <c r="R209" s="58"/>
      <c r="S209" s="40"/>
      <c r="T209" s="40"/>
      <c r="U209" s="40"/>
      <c r="V209" s="40"/>
      <c r="W209" s="16">
        <v>4</v>
      </c>
      <c r="X209" s="16">
        <v>1</v>
      </c>
      <c r="Y209" s="16"/>
      <c r="Z209" s="16"/>
      <c r="AA209" s="16">
        <v>5</v>
      </c>
      <c r="AB209" s="21">
        <f t="shared" si="110"/>
        <v>0.25</v>
      </c>
      <c r="AC209" s="33">
        <f t="shared" si="111"/>
        <v>1.0266940451745379E-2</v>
      </c>
    </row>
    <row r="210" spans="1:29" s="11" customFormat="1" x14ac:dyDescent="0.15">
      <c r="A210" s="8" t="s">
        <v>62</v>
      </c>
      <c r="B210" s="8" t="s">
        <v>195</v>
      </c>
      <c r="C210" s="8" t="s">
        <v>297</v>
      </c>
      <c r="D210" s="8" t="s">
        <v>298</v>
      </c>
      <c r="E210" s="8" t="s">
        <v>55</v>
      </c>
      <c r="F210" s="8" t="s">
        <v>20</v>
      </c>
      <c r="G210" s="9">
        <v>54970.8</v>
      </c>
      <c r="H210" s="43"/>
      <c r="I210" s="43">
        <v>54970.8</v>
      </c>
      <c r="J210" s="47"/>
      <c r="K210" s="47"/>
      <c r="L210" s="47"/>
      <c r="M210" s="58"/>
      <c r="N210" s="58"/>
      <c r="O210" s="58"/>
      <c r="P210" s="58"/>
      <c r="Q210" s="58"/>
      <c r="R210" s="58"/>
      <c r="S210" s="40"/>
      <c r="T210" s="40"/>
      <c r="U210" s="40"/>
      <c r="V210" s="40"/>
      <c r="W210" s="25">
        <v>18</v>
      </c>
      <c r="X210" s="25">
        <v>15</v>
      </c>
      <c r="Y210" s="25">
        <v>11</v>
      </c>
      <c r="Z210" s="16">
        <v>8</v>
      </c>
      <c r="AA210" s="16">
        <v>8</v>
      </c>
      <c r="AB210" s="30">
        <f t="shared" si="110"/>
        <v>-0.55555555555555558</v>
      </c>
      <c r="AC210" s="33">
        <f t="shared" si="111"/>
        <v>1.6427104722792608E-2</v>
      </c>
    </row>
    <row r="211" spans="1:29" s="11" customFormat="1" x14ac:dyDescent="0.15">
      <c r="A211" s="8" t="s">
        <v>62</v>
      </c>
      <c r="B211" s="8" t="s">
        <v>195</v>
      </c>
      <c r="C211" s="8" t="s">
        <v>305</v>
      </c>
      <c r="D211" s="8" t="s">
        <v>306</v>
      </c>
      <c r="E211" s="8" t="s">
        <v>55</v>
      </c>
      <c r="F211" s="8" t="s">
        <v>20</v>
      </c>
      <c r="G211" s="9">
        <v>172929</v>
      </c>
      <c r="H211" s="43"/>
      <c r="I211" s="43">
        <v>172929</v>
      </c>
      <c r="J211" s="47"/>
      <c r="K211" s="47"/>
      <c r="L211" s="47"/>
      <c r="M211" s="58"/>
      <c r="N211" s="58"/>
      <c r="O211" s="58"/>
      <c r="P211" s="58"/>
      <c r="Q211" s="58"/>
      <c r="R211" s="58"/>
      <c r="S211" s="40"/>
      <c r="T211" s="40"/>
      <c r="U211" s="40"/>
      <c r="V211" s="40"/>
      <c r="W211" s="25">
        <v>3</v>
      </c>
      <c r="X211" s="25">
        <v>5</v>
      </c>
      <c r="Y211" s="25">
        <v>10</v>
      </c>
      <c r="Z211" s="16">
        <v>23</v>
      </c>
      <c r="AA211" s="16">
        <v>27</v>
      </c>
      <c r="AB211" s="21">
        <f t="shared" si="110"/>
        <v>8</v>
      </c>
      <c r="AC211" s="33">
        <f t="shared" si="111"/>
        <v>5.5441478439425054E-2</v>
      </c>
    </row>
    <row r="212" spans="1:29" s="11" customFormat="1" x14ac:dyDescent="0.15">
      <c r="A212" s="8" t="s">
        <v>321</v>
      </c>
      <c r="B212" s="8" t="s">
        <v>322</v>
      </c>
      <c r="C212" s="8" t="s">
        <v>496</v>
      </c>
      <c r="D212" s="8" t="s">
        <v>497</v>
      </c>
      <c r="E212" s="8" t="s">
        <v>55</v>
      </c>
      <c r="F212" s="8" t="s">
        <v>20</v>
      </c>
      <c r="G212" s="9">
        <v>444711.15</v>
      </c>
      <c r="H212" s="43">
        <v>-83371.990000000005</v>
      </c>
      <c r="I212" s="43">
        <v>361339.16</v>
      </c>
      <c r="J212" s="47"/>
      <c r="K212" s="47"/>
      <c r="L212" s="47"/>
      <c r="M212" s="58"/>
      <c r="N212" s="58"/>
      <c r="O212" s="58"/>
      <c r="P212" s="58"/>
      <c r="Q212" s="58"/>
      <c r="R212" s="58"/>
      <c r="S212" s="40"/>
      <c r="T212" s="40"/>
      <c r="U212" s="40"/>
      <c r="V212" s="40"/>
      <c r="W212" s="25">
        <v>92</v>
      </c>
      <c r="X212" s="25">
        <v>90</v>
      </c>
      <c r="Y212" s="25">
        <v>68</v>
      </c>
      <c r="Z212" s="16">
        <v>60</v>
      </c>
      <c r="AA212" s="16">
        <v>57</v>
      </c>
      <c r="AB212" s="30">
        <f t="shared" si="110"/>
        <v>-0.38043478260869568</v>
      </c>
      <c r="AC212" s="33"/>
    </row>
    <row r="213" spans="1:29" s="11" customFormat="1" x14ac:dyDescent="0.15">
      <c r="A213" s="8" t="s">
        <v>321</v>
      </c>
      <c r="B213" s="8" t="s">
        <v>322</v>
      </c>
      <c r="C213" s="8" t="s">
        <v>498</v>
      </c>
      <c r="D213" s="8" t="s">
        <v>499</v>
      </c>
      <c r="E213" s="8" t="s">
        <v>55</v>
      </c>
      <c r="F213" s="8" t="s">
        <v>20</v>
      </c>
      <c r="G213" s="9">
        <v>62318.9</v>
      </c>
      <c r="H213" s="43">
        <v>-2000</v>
      </c>
      <c r="I213" s="43">
        <v>60318.9</v>
      </c>
      <c r="J213" s="47"/>
      <c r="K213" s="47"/>
      <c r="L213" s="47"/>
      <c r="M213" s="58"/>
      <c r="N213" s="58"/>
      <c r="O213" s="58"/>
      <c r="P213" s="58"/>
      <c r="Q213" s="58"/>
      <c r="R213" s="58"/>
      <c r="S213" s="40"/>
      <c r="T213" s="40"/>
      <c r="U213" s="40"/>
      <c r="V213" s="40"/>
      <c r="W213" s="25">
        <v>44</v>
      </c>
      <c r="X213" s="25">
        <v>46</v>
      </c>
      <c r="Y213" s="25">
        <v>28</v>
      </c>
      <c r="Z213" s="16">
        <v>20</v>
      </c>
      <c r="AA213" s="16">
        <v>9</v>
      </c>
      <c r="AB213" s="30">
        <f t="shared" si="110"/>
        <v>-0.79545454545454541</v>
      </c>
      <c r="AC213" s="33"/>
    </row>
    <row r="214" spans="1:29" s="11" customFormat="1" x14ac:dyDescent="0.15">
      <c r="A214" s="8" t="s">
        <v>321</v>
      </c>
      <c r="B214" s="8" t="s">
        <v>322</v>
      </c>
      <c r="C214" s="8" t="s">
        <v>500</v>
      </c>
      <c r="D214" s="8" t="s">
        <v>501</v>
      </c>
      <c r="E214" s="8" t="s">
        <v>55</v>
      </c>
      <c r="F214" s="8" t="s">
        <v>20</v>
      </c>
      <c r="G214" s="9">
        <v>182197.4</v>
      </c>
      <c r="H214" s="43">
        <v>-14001.172500000001</v>
      </c>
      <c r="I214" s="43">
        <v>168196.22750000001</v>
      </c>
      <c r="J214" s="47"/>
      <c r="K214" s="47"/>
      <c r="L214" s="47"/>
      <c r="M214" s="58"/>
      <c r="N214" s="58"/>
      <c r="O214" s="58"/>
      <c r="P214" s="58"/>
      <c r="Q214" s="58"/>
      <c r="R214" s="58"/>
      <c r="S214" s="40"/>
      <c r="T214" s="40"/>
      <c r="U214" s="40"/>
      <c r="V214" s="40"/>
      <c r="W214" s="25">
        <v>157</v>
      </c>
      <c r="X214" s="25">
        <v>115</v>
      </c>
      <c r="Y214" s="25">
        <v>86</v>
      </c>
      <c r="Z214" s="16">
        <v>67</v>
      </c>
      <c r="AA214" s="16">
        <v>24</v>
      </c>
      <c r="AB214" s="30">
        <f t="shared" si="110"/>
        <v>-0.84713375796178347</v>
      </c>
      <c r="AC214" s="33"/>
    </row>
    <row r="215" spans="1:29" s="11" customFormat="1" x14ac:dyDescent="0.15">
      <c r="A215" s="8" t="s">
        <v>321</v>
      </c>
      <c r="B215" s="8" t="s">
        <v>322</v>
      </c>
      <c r="C215" s="8" t="s">
        <v>502</v>
      </c>
      <c r="D215" s="8" t="s">
        <v>503</v>
      </c>
      <c r="E215" s="8" t="s">
        <v>55</v>
      </c>
      <c r="F215" s="8" t="s">
        <v>20</v>
      </c>
      <c r="G215" s="9">
        <v>267023.74</v>
      </c>
      <c r="H215" s="43">
        <v>-18423.62</v>
      </c>
      <c r="I215" s="43">
        <v>248600.12</v>
      </c>
      <c r="J215" s="47"/>
      <c r="K215" s="47"/>
      <c r="L215" s="47"/>
      <c r="M215" s="58"/>
      <c r="N215" s="58"/>
      <c r="O215" s="58"/>
      <c r="P215" s="58"/>
      <c r="Q215" s="58"/>
      <c r="R215" s="58"/>
      <c r="S215" s="40"/>
      <c r="T215" s="40"/>
      <c r="U215" s="40"/>
      <c r="V215" s="40"/>
      <c r="W215" s="25">
        <v>45</v>
      </c>
      <c r="X215" s="25">
        <v>34</v>
      </c>
      <c r="Y215" s="25">
        <v>24</v>
      </c>
      <c r="Z215" s="16">
        <v>38</v>
      </c>
      <c r="AA215" s="16">
        <v>38</v>
      </c>
      <c r="AB215" s="30">
        <f t="shared" si="110"/>
        <v>-0.15555555555555556</v>
      </c>
      <c r="AC215" s="33"/>
    </row>
    <row r="216" spans="1:29" s="11" customFormat="1" x14ac:dyDescent="0.15">
      <c r="A216" s="8" t="s">
        <v>321</v>
      </c>
      <c r="B216" s="8" t="s">
        <v>322</v>
      </c>
      <c r="C216" s="8" t="s">
        <v>353</v>
      </c>
      <c r="D216" s="8" t="s">
        <v>354</v>
      </c>
      <c r="E216" s="8" t="s">
        <v>55</v>
      </c>
      <c r="F216" s="8" t="s">
        <v>20</v>
      </c>
      <c r="G216" s="9">
        <v>171094.6</v>
      </c>
      <c r="H216" s="43">
        <v>-22016.400000000001</v>
      </c>
      <c r="I216" s="43">
        <v>149078.20000000001</v>
      </c>
      <c r="J216" s="47"/>
      <c r="K216" s="47"/>
      <c r="L216" s="47"/>
      <c r="M216" s="58"/>
      <c r="N216" s="58"/>
      <c r="O216" s="58"/>
      <c r="P216" s="58"/>
      <c r="Q216" s="58"/>
      <c r="R216" s="58"/>
      <c r="S216" s="40"/>
      <c r="T216" s="40"/>
      <c r="U216" s="40"/>
      <c r="V216" s="40"/>
      <c r="W216" s="25">
        <v>27</v>
      </c>
      <c r="X216" s="25">
        <v>14</v>
      </c>
      <c r="Y216" s="16">
        <v>22</v>
      </c>
      <c r="Z216" s="16">
        <v>19</v>
      </c>
      <c r="AA216" s="16">
        <v>31</v>
      </c>
      <c r="AB216" s="21">
        <f t="shared" si="110"/>
        <v>0.14814814814814814</v>
      </c>
      <c r="AC216" s="33">
        <f t="shared" si="111"/>
        <v>6.3655030800821355E-2</v>
      </c>
    </row>
    <row r="217" spans="1:29" s="11" customFormat="1" x14ac:dyDescent="0.15">
      <c r="A217" s="8" t="s">
        <v>321</v>
      </c>
      <c r="B217" s="8" t="s">
        <v>322</v>
      </c>
      <c r="C217" s="8" t="s">
        <v>361</v>
      </c>
      <c r="D217" s="8" t="s">
        <v>362</v>
      </c>
      <c r="E217" s="8" t="s">
        <v>55</v>
      </c>
      <c r="F217" s="8" t="s">
        <v>20</v>
      </c>
      <c r="G217" s="9">
        <v>498794.1</v>
      </c>
      <c r="H217" s="43">
        <v>-103536.15</v>
      </c>
      <c r="I217" s="43">
        <v>395257.95</v>
      </c>
      <c r="J217" s="47"/>
      <c r="K217" s="47"/>
      <c r="L217" s="47"/>
      <c r="M217" s="58"/>
      <c r="N217" s="58"/>
      <c r="O217" s="58"/>
      <c r="P217" s="58"/>
      <c r="Q217" s="58"/>
      <c r="R217" s="58"/>
      <c r="S217" s="40"/>
      <c r="T217" s="40"/>
      <c r="U217" s="40"/>
      <c r="V217" s="40"/>
      <c r="W217" s="25">
        <v>39</v>
      </c>
      <c r="X217" s="25">
        <v>36</v>
      </c>
      <c r="Y217" s="16">
        <v>49</v>
      </c>
      <c r="Z217" s="16">
        <v>43</v>
      </c>
      <c r="AA217" s="16">
        <v>71</v>
      </c>
      <c r="AB217" s="21">
        <f t="shared" si="110"/>
        <v>0.82051282051282048</v>
      </c>
      <c r="AC217" s="33">
        <f t="shared" si="111"/>
        <v>0.14579055441478439</v>
      </c>
    </row>
    <row r="218" spans="1:29" s="11" customFormat="1" x14ac:dyDescent="0.15">
      <c r="A218" s="8" t="s">
        <v>321</v>
      </c>
      <c r="B218" s="8" t="s">
        <v>322</v>
      </c>
      <c r="C218" s="8" t="s">
        <v>401</v>
      </c>
      <c r="D218" s="8" t="s">
        <v>402</v>
      </c>
      <c r="E218" s="8" t="s">
        <v>55</v>
      </c>
      <c r="F218" s="8" t="s">
        <v>20</v>
      </c>
      <c r="G218" s="9">
        <v>86745.600000000006</v>
      </c>
      <c r="H218" s="43">
        <v>-6000</v>
      </c>
      <c r="I218" s="43">
        <v>80745.600000000006</v>
      </c>
      <c r="J218" s="47"/>
      <c r="K218" s="47"/>
      <c r="L218" s="47"/>
      <c r="M218" s="58"/>
      <c r="N218" s="58"/>
      <c r="O218" s="58"/>
      <c r="P218" s="58"/>
      <c r="Q218" s="58"/>
      <c r="R218" s="58"/>
      <c r="S218" s="40"/>
      <c r="T218" s="40"/>
      <c r="U218" s="40"/>
      <c r="V218" s="40"/>
      <c r="W218" s="25">
        <v>24</v>
      </c>
      <c r="X218" s="25">
        <v>20</v>
      </c>
      <c r="Y218" s="16">
        <v>18</v>
      </c>
      <c r="Z218" s="16">
        <v>9</v>
      </c>
      <c r="AA218" s="16">
        <v>15</v>
      </c>
      <c r="AB218" s="30">
        <f t="shared" si="110"/>
        <v>-0.375</v>
      </c>
      <c r="AC218" s="33">
        <f t="shared" si="111"/>
        <v>3.0800821355236138E-2</v>
      </c>
    </row>
    <row r="219" spans="1:29" s="11" customFormat="1" x14ac:dyDescent="0.15">
      <c r="A219" s="8" t="s">
        <v>321</v>
      </c>
      <c r="B219" s="8" t="s">
        <v>322</v>
      </c>
      <c r="C219" s="8" t="s">
        <v>432</v>
      </c>
      <c r="D219" s="8" t="s">
        <v>433</v>
      </c>
      <c r="E219" s="8" t="s">
        <v>55</v>
      </c>
      <c r="F219" s="8" t="s">
        <v>20</v>
      </c>
      <c r="G219" s="9">
        <v>247992.4</v>
      </c>
      <c r="H219" s="43">
        <v>-28744.799999999999</v>
      </c>
      <c r="I219" s="43">
        <v>219247.6</v>
      </c>
      <c r="J219" s="47"/>
      <c r="K219" s="47"/>
      <c r="L219" s="47"/>
      <c r="M219" s="58"/>
      <c r="N219" s="58"/>
      <c r="O219" s="58"/>
      <c r="P219" s="58"/>
      <c r="Q219" s="58"/>
      <c r="R219" s="58"/>
      <c r="S219" s="40"/>
      <c r="T219" s="40"/>
      <c r="U219" s="40"/>
      <c r="V219" s="40"/>
      <c r="W219" s="25">
        <v>48</v>
      </c>
      <c r="X219" s="25">
        <v>31</v>
      </c>
      <c r="Y219" s="16">
        <v>31</v>
      </c>
      <c r="Z219" s="16">
        <v>26</v>
      </c>
      <c r="AA219" s="16">
        <v>42</v>
      </c>
      <c r="AB219" s="30">
        <f t="shared" si="110"/>
        <v>-0.125</v>
      </c>
      <c r="AC219" s="33">
        <f t="shared" si="111"/>
        <v>8.6242299794661192E-2</v>
      </c>
    </row>
    <row r="220" spans="1:29" s="11" customFormat="1" x14ac:dyDescent="0.15">
      <c r="A220" s="13"/>
      <c r="B220" s="5" t="s">
        <v>0</v>
      </c>
      <c r="C220" s="5" t="s">
        <v>0</v>
      </c>
      <c r="D220" s="5" t="s">
        <v>0</v>
      </c>
      <c r="E220" s="13" t="s">
        <v>155</v>
      </c>
      <c r="F220" s="13" t="s">
        <v>155</v>
      </c>
      <c r="G220" s="14">
        <f>SUM(G221:G222)</f>
        <v>16498.099999999999</v>
      </c>
      <c r="H220" s="44">
        <f t="shared" ref="H220:I220" si="112">SUM(H221:H222)</f>
        <v>-3900.65</v>
      </c>
      <c r="I220" s="44">
        <f t="shared" si="112"/>
        <v>12597.45</v>
      </c>
      <c r="J220" s="44">
        <v>90241</v>
      </c>
      <c r="K220" s="44">
        <v>-89761</v>
      </c>
      <c r="L220" s="42">
        <f>+J220+K220</f>
        <v>480</v>
      </c>
      <c r="M220" s="59"/>
      <c r="N220" s="59"/>
      <c r="O220" s="59"/>
      <c r="P220" s="59"/>
      <c r="Q220" s="59"/>
      <c r="R220" s="59"/>
      <c r="S220" s="39"/>
      <c r="T220" s="39"/>
      <c r="U220" s="39"/>
      <c r="V220" s="39"/>
      <c r="W220" s="17">
        <f>SUM(W221:W222)</f>
        <v>27</v>
      </c>
      <c r="X220" s="17">
        <f t="shared" ref="X220:AA220" si="113">SUM(X221:X222)</f>
        <v>35</v>
      </c>
      <c r="Y220" s="17">
        <f t="shared" si="113"/>
        <v>51</v>
      </c>
      <c r="Z220" s="17">
        <f t="shared" si="113"/>
        <v>49</v>
      </c>
      <c r="AA220" s="17">
        <f t="shared" si="113"/>
        <v>41</v>
      </c>
      <c r="AB220" s="19">
        <f>+(AA220-W220)/W220</f>
        <v>0.51851851851851849</v>
      </c>
      <c r="AC220" s="33"/>
    </row>
    <row r="221" spans="1:29" s="11" customFormat="1" x14ac:dyDescent="0.15">
      <c r="A221" s="8" t="s">
        <v>62</v>
      </c>
      <c r="B221" s="8" t="s">
        <v>148</v>
      </c>
      <c r="C221" s="8" t="s">
        <v>153</v>
      </c>
      <c r="D221" s="8" t="s">
        <v>154</v>
      </c>
      <c r="E221" s="8" t="s">
        <v>155</v>
      </c>
      <c r="F221" s="8" t="s">
        <v>155</v>
      </c>
      <c r="G221" s="9">
        <v>11572.4</v>
      </c>
      <c r="H221" s="43">
        <v>-3900.65</v>
      </c>
      <c r="I221" s="43">
        <v>7671.75</v>
      </c>
      <c r="J221" s="47"/>
      <c r="K221" s="47"/>
      <c r="L221" s="47"/>
      <c r="M221" s="58"/>
      <c r="N221" s="58"/>
      <c r="O221" s="58"/>
      <c r="P221" s="58"/>
      <c r="Q221" s="58"/>
      <c r="R221" s="58"/>
      <c r="S221" s="40"/>
      <c r="T221" s="40"/>
      <c r="U221" s="40"/>
      <c r="V221" s="40"/>
      <c r="W221" s="16">
        <v>19</v>
      </c>
      <c r="X221" s="16">
        <v>27</v>
      </c>
      <c r="Y221" s="16">
        <v>46</v>
      </c>
      <c r="Z221" s="16">
        <v>46</v>
      </c>
      <c r="AA221" s="16">
        <v>38</v>
      </c>
      <c r="AB221" s="21">
        <f t="shared" ref="AB221:AB222" si="114">+(AA221-W221)/W221</f>
        <v>1</v>
      </c>
      <c r="AC221" s="33">
        <f>+AA221/AA220</f>
        <v>0.92682926829268297</v>
      </c>
    </row>
    <row r="222" spans="1:29" s="11" customFormat="1" x14ac:dyDescent="0.15">
      <c r="A222" s="8" t="s">
        <v>62</v>
      </c>
      <c r="B222" s="8" t="s">
        <v>148</v>
      </c>
      <c r="C222" s="8" t="s">
        <v>172</v>
      </c>
      <c r="D222" s="8" t="s">
        <v>173</v>
      </c>
      <c r="E222" s="8" t="s">
        <v>155</v>
      </c>
      <c r="F222" s="8" t="s">
        <v>155</v>
      </c>
      <c r="G222" s="9">
        <v>4925.7</v>
      </c>
      <c r="H222" s="43"/>
      <c r="I222" s="43">
        <v>4925.7</v>
      </c>
      <c r="J222" s="47"/>
      <c r="K222" s="47"/>
      <c r="L222" s="47"/>
      <c r="M222" s="58"/>
      <c r="N222" s="58"/>
      <c r="O222" s="58"/>
      <c r="P222" s="58"/>
      <c r="Q222" s="58"/>
      <c r="R222" s="58"/>
      <c r="S222" s="40"/>
      <c r="T222" s="40"/>
      <c r="U222" s="40"/>
      <c r="V222" s="40"/>
      <c r="W222" s="16">
        <v>8</v>
      </c>
      <c r="X222" s="16">
        <v>8</v>
      </c>
      <c r="Y222" s="16">
        <v>5</v>
      </c>
      <c r="Z222" s="16">
        <v>3</v>
      </c>
      <c r="AA222" s="16">
        <v>3</v>
      </c>
      <c r="AB222" s="30">
        <f t="shared" si="114"/>
        <v>-0.625</v>
      </c>
      <c r="AC222" s="33">
        <f>+AA222/AA220</f>
        <v>7.3170731707317069E-2</v>
      </c>
    </row>
    <row r="223" spans="1:29" s="11" customFormat="1" x14ac:dyDescent="0.15">
      <c r="A223" s="5"/>
      <c r="B223" s="5" t="s">
        <v>0</v>
      </c>
      <c r="C223" s="5" t="s">
        <v>0</v>
      </c>
      <c r="D223" s="5" t="s">
        <v>0</v>
      </c>
      <c r="E223" s="5" t="s">
        <v>36</v>
      </c>
      <c r="F223" s="5" t="s">
        <v>37</v>
      </c>
      <c r="G223" s="6">
        <v>9333032.6600000001</v>
      </c>
      <c r="H223" s="42">
        <v>-3000000.29</v>
      </c>
      <c r="I223" s="42">
        <v>6333032.3700000001</v>
      </c>
      <c r="J223" s="42">
        <v>9285077.3000000007</v>
      </c>
      <c r="K223" s="42">
        <f>-2984506.79093463+1197</f>
        <v>-2983309.7909346302</v>
      </c>
      <c r="L223" s="42">
        <f>+J223+K223</f>
        <v>6301767.509065371</v>
      </c>
      <c r="M223" s="57">
        <f>-4316872.14</f>
        <v>-4316872.1399999997</v>
      </c>
      <c r="N223" s="57"/>
      <c r="O223" s="57">
        <v>-654922.85</v>
      </c>
      <c r="P223" s="57">
        <v>-80726.34</v>
      </c>
      <c r="Q223" s="57">
        <v>-196122.23</v>
      </c>
      <c r="R223" s="57">
        <f>+Q223+M223</f>
        <v>-4512994.37</v>
      </c>
      <c r="S223" s="39">
        <f>+I223+R223</f>
        <v>1820038</v>
      </c>
      <c r="T223" s="39">
        <f>+L223+R223</f>
        <v>1788773.1390653709</v>
      </c>
      <c r="U223" s="39">
        <f>+I223+M223</f>
        <v>2016160.2300000004</v>
      </c>
      <c r="V223" s="39">
        <f>+L223+M223</f>
        <v>1984895.3690653713</v>
      </c>
      <c r="W223" s="15">
        <f>SUM(W224:W226)</f>
        <v>489</v>
      </c>
      <c r="X223" s="15">
        <f t="shared" ref="X223:AA223" si="115">SUM(X224:X226)</f>
        <v>475</v>
      </c>
      <c r="Y223" s="15">
        <f t="shared" si="115"/>
        <v>461</v>
      </c>
      <c r="Z223" s="15">
        <f t="shared" si="115"/>
        <v>457</v>
      </c>
      <c r="AA223" s="15">
        <f t="shared" si="115"/>
        <v>440</v>
      </c>
      <c r="AB223" s="31">
        <f>+(AA223-W223)/W223</f>
        <v>-0.10020449897750511</v>
      </c>
      <c r="AC223" s="33"/>
    </row>
    <row r="224" spans="1:29" s="11" customFormat="1" x14ac:dyDescent="0.15">
      <c r="A224" s="8" t="s">
        <v>62</v>
      </c>
      <c r="B224" s="8" t="s">
        <v>195</v>
      </c>
      <c r="C224" s="8" t="s">
        <v>256</v>
      </c>
      <c r="D224" s="8" t="s">
        <v>257</v>
      </c>
      <c r="E224" s="8" t="s">
        <v>36</v>
      </c>
      <c r="F224" s="8" t="s">
        <v>37</v>
      </c>
      <c r="G224" s="9">
        <v>426344.76</v>
      </c>
      <c r="H224" s="43">
        <v>-117276.3</v>
      </c>
      <c r="I224" s="43">
        <v>309068.46000000002</v>
      </c>
      <c r="J224" s="47"/>
      <c r="K224" s="47"/>
      <c r="L224" s="47"/>
      <c r="M224" s="58"/>
      <c r="N224" s="58"/>
      <c r="O224" s="58"/>
      <c r="P224" s="58"/>
      <c r="Q224" s="58"/>
      <c r="R224" s="58"/>
      <c r="S224" s="40"/>
      <c r="T224" s="40"/>
      <c r="U224" s="40"/>
      <c r="V224" s="40"/>
      <c r="W224" s="16">
        <v>7</v>
      </c>
      <c r="X224" s="16">
        <v>21</v>
      </c>
      <c r="Y224" s="16">
        <v>30</v>
      </c>
      <c r="Z224" s="16">
        <v>27</v>
      </c>
      <c r="AA224" s="16">
        <v>27</v>
      </c>
      <c r="AB224" s="21">
        <f t="shared" ref="AB224:AB226" si="116">+(AA224-W224)/W224</f>
        <v>2.8571428571428572</v>
      </c>
      <c r="AC224" s="33">
        <f>+AA224/AA223</f>
        <v>6.1363636363636363E-2</v>
      </c>
    </row>
    <row r="225" spans="1:29" s="11" customFormat="1" x14ac:dyDescent="0.15">
      <c r="A225" s="8" t="s">
        <v>62</v>
      </c>
      <c r="B225" s="8" t="s">
        <v>195</v>
      </c>
      <c r="C225" s="8" t="s">
        <v>303</v>
      </c>
      <c r="D225" s="8" t="s">
        <v>304</v>
      </c>
      <c r="E225" s="8" t="s">
        <v>36</v>
      </c>
      <c r="F225" s="8" t="s">
        <v>37</v>
      </c>
      <c r="G225" s="9">
        <v>76941.320000000007</v>
      </c>
      <c r="H225" s="43">
        <v>-19895.2</v>
      </c>
      <c r="I225" s="43">
        <v>57046.12</v>
      </c>
      <c r="J225" s="47"/>
      <c r="K225" s="47"/>
      <c r="L225" s="47"/>
      <c r="M225" s="58"/>
      <c r="N225" s="58"/>
      <c r="O225" s="58"/>
      <c r="P225" s="58"/>
      <c r="Q225" s="58"/>
      <c r="R225" s="58"/>
      <c r="S225" s="40"/>
      <c r="T225" s="40"/>
      <c r="U225" s="40"/>
      <c r="V225" s="40"/>
      <c r="W225" s="16">
        <v>9</v>
      </c>
      <c r="X225" s="16">
        <v>12</v>
      </c>
      <c r="Y225" s="16">
        <v>9</v>
      </c>
      <c r="Z225" s="16">
        <v>9</v>
      </c>
      <c r="AA225" s="16">
        <v>9</v>
      </c>
      <c r="AB225" s="21">
        <f t="shared" si="116"/>
        <v>0</v>
      </c>
      <c r="AC225" s="33">
        <f>+AA225/AA223</f>
        <v>2.0454545454545454E-2</v>
      </c>
    </row>
    <row r="226" spans="1:29" s="11" customFormat="1" x14ac:dyDescent="0.15">
      <c r="A226" s="8" t="s">
        <v>313</v>
      </c>
      <c r="B226" s="8" t="s">
        <v>59</v>
      </c>
      <c r="C226" s="8" t="s">
        <v>314</v>
      </c>
      <c r="D226" s="8" t="s">
        <v>315</v>
      </c>
      <c r="E226" s="8" t="s">
        <v>36</v>
      </c>
      <c r="F226" s="8" t="s">
        <v>37</v>
      </c>
      <c r="G226" s="9">
        <v>8829746.5800000001</v>
      </c>
      <c r="H226" s="43">
        <v>-2862828.79</v>
      </c>
      <c r="I226" s="43">
        <v>5966917.79</v>
      </c>
      <c r="J226" s="47"/>
      <c r="K226" s="47"/>
      <c r="L226" s="47"/>
      <c r="M226" s="58"/>
      <c r="N226" s="58"/>
      <c r="O226" s="58"/>
      <c r="P226" s="58"/>
      <c r="Q226" s="58"/>
      <c r="R226" s="58"/>
      <c r="S226" s="40"/>
      <c r="T226" s="40"/>
      <c r="U226" s="40"/>
      <c r="V226" s="40"/>
      <c r="W226" s="16">
        <v>473</v>
      </c>
      <c r="X226" s="16">
        <v>442</v>
      </c>
      <c r="Y226" s="16">
        <v>422</v>
      </c>
      <c r="Z226" s="16">
        <v>421</v>
      </c>
      <c r="AA226" s="16">
        <v>404</v>
      </c>
      <c r="AB226" s="30">
        <f t="shared" si="116"/>
        <v>-0.14587737843551796</v>
      </c>
      <c r="AC226" s="33">
        <f>+AA226/AA223</f>
        <v>0.91818181818181821</v>
      </c>
    </row>
    <row r="227" spans="1:29" s="11" customFormat="1" x14ac:dyDescent="0.15">
      <c r="A227" s="5"/>
      <c r="B227" s="5" t="s">
        <v>0</v>
      </c>
      <c r="C227" s="5" t="s">
        <v>0</v>
      </c>
      <c r="D227" s="5" t="s">
        <v>0</v>
      </c>
      <c r="E227" s="5" t="s">
        <v>10</v>
      </c>
      <c r="F227" s="5" t="s">
        <v>11</v>
      </c>
      <c r="G227" s="6">
        <v>195732.6</v>
      </c>
      <c r="H227" s="42">
        <v>-86923.14</v>
      </c>
      <c r="I227" s="42">
        <v>108809.46</v>
      </c>
      <c r="J227" s="42">
        <v>272489.74</v>
      </c>
      <c r="K227" s="42">
        <v>-113640.469047619</v>
      </c>
      <c r="L227" s="42">
        <f>+J227+K227</f>
        <v>158849.27095238099</v>
      </c>
      <c r="M227" s="57">
        <f>-936413.69-N227-76030.52</f>
        <v>-996040.82</v>
      </c>
      <c r="N227" s="57">
        <v>-16403.39</v>
      </c>
      <c r="O227" s="57"/>
      <c r="P227" s="57">
        <f>-4934.18-156650.3+2532.13+1689.22-14133.71</f>
        <v>-171496.83999999997</v>
      </c>
      <c r="Q227" s="57">
        <v>-108036.18</v>
      </c>
      <c r="R227" s="57">
        <f>+Q227+M227</f>
        <v>-1104077</v>
      </c>
      <c r="S227" s="39">
        <f>+I227+R227</f>
        <v>-995267.54</v>
      </c>
      <c r="T227" s="39">
        <f>+L227+R227</f>
        <v>-945227.72904761904</v>
      </c>
      <c r="U227" s="39">
        <f>+I227+M227</f>
        <v>-887231.36</v>
      </c>
      <c r="V227" s="39">
        <f>+L227+M227</f>
        <v>-837191.54904761899</v>
      </c>
      <c r="W227" s="15">
        <f>SUM(W228:W230)</f>
        <v>39</v>
      </c>
      <c r="X227" s="15">
        <f t="shared" ref="X227:AA227" si="117">SUM(X228:X230)</f>
        <v>36</v>
      </c>
      <c r="Y227" s="15">
        <f t="shared" si="117"/>
        <v>42</v>
      </c>
      <c r="Z227" s="15">
        <f t="shared" si="117"/>
        <v>49</v>
      </c>
      <c r="AA227" s="15">
        <f t="shared" si="117"/>
        <v>52</v>
      </c>
      <c r="AB227" s="19">
        <f>+(AA227-W227)/W227</f>
        <v>0.33333333333333331</v>
      </c>
      <c r="AC227" s="33"/>
    </row>
    <row r="228" spans="1:29" s="11" customFormat="1" x14ac:dyDescent="0.15">
      <c r="A228" s="8" t="s">
        <v>62</v>
      </c>
      <c r="B228" s="8" t="s">
        <v>195</v>
      </c>
      <c r="C228" s="8" t="s">
        <v>202</v>
      </c>
      <c r="D228" s="8" t="s">
        <v>203</v>
      </c>
      <c r="E228" s="8" t="s">
        <v>10</v>
      </c>
      <c r="F228" s="8" t="s">
        <v>11</v>
      </c>
      <c r="G228" s="9">
        <v>106258.1</v>
      </c>
      <c r="H228" s="43">
        <v>-27482.26</v>
      </c>
      <c r="I228" s="43">
        <v>78775.839999999997</v>
      </c>
      <c r="J228" s="47"/>
      <c r="K228" s="47"/>
      <c r="L228" s="47"/>
      <c r="M228" s="58"/>
      <c r="N228" s="58"/>
      <c r="O228" s="58"/>
      <c r="P228" s="58"/>
      <c r="Q228" s="58"/>
      <c r="R228" s="58"/>
      <c r="S228" s="40"/>
      <c r="T228" s="40"/>
      <c r="U228" s="40"/>
      <c r="V228" s="40"/>
      <c r="W228" s="16">
        <v>27</v>
      </c>
      <c r="X228" s="16">
        <v>25</v>
      </c>
      <c r="Y228" s="16">
        <v>24</v>
      </c>
      <c r="Z228" s="16">
        <v>26</v>
      </c>
      <c r="AA228" s="16">
        <v>27</v>
      </c>
      <c r="AB228" s="21">
        <f t="shared" ref="AB228:AB230" si="118">+(AA228-W228)/W228</f>
        <v>0</v>
      </c>
      <c r="AC228" s="33">
        <f>+AA228/AA227</f>
        <v>0.51923076923076927</v>
      </c>
    </row>
    <row r="229" spans="1:29" s="11" customFormat="1" x14ac:dyDescent="0.15">
      <c r="A229" s="8" t="s">
        <v>62</v>
      </c>
      <c r="B229" s="8" t="s">
        <v>63</v>
      </c>
      <c r="C229" s="8" t="s">
        <v>66</v>
      </c>
      <c r="D229" s="8" t="s">
        <v>67</v>
      </c>
      <c r="E229" s="8" t="s">
        <v>10</v>
      </c>
      <c r="F229" s="8" t="s">
        <v>11</v>
      </c>
      <c r="G229" s="9">
        <v>72949.899999999994</v>
      </c>
      <c r="H229" s="43">
        <v>-55546.58</v>
      </c>
      <c r="I229" s="43">
        <v>17403.32</v>
      </c>
      <c r="J229" s="47"/>
      <c r="K229" s="47"/>
      <c r="L229" s="47"/>
      <c r="M229" s="58"/>
      <c r="N229" s="58"/>
      <c r="O229" s="58"/>
      <c r="P229" s="58"/>
      <c r="Q229" s="58"/>
      <c r="R229" s="58"/>
      <c r="S229" s="40"/>
      <c r="T229" s="40"/>
      <c r="U229" s="40"/>
      <c r="V229" s="40"/>
      <c r="W229" s="16">
        <v>6</v>
      </c>
      <c r="X229" s="16">
        <v>6</v>
      </c>
      <c r="Y229" s="16">
        <v>14</v>
      </c>
      <c r="Z229" s="16">
        <v>17</v>
      </c>
      <c r="AA229" s="16">
        <v>17</v>
      </c>
      <c r="AB229" s="21">
        <f t="shared" si="118"/>
        <v>1.8333333333333333</v>
      </c>
      <c r="AC229" s="33">
        <f>+AA229/AA227</f>
        <v>0.32692307692307693</v>
      </c>
    </row>
    <row r="230" spans="1:29" s="11" customFormat="1" x14ac:dyDescent="0.15">
      <c r="A230" s="8" t="s">
        <v>62</v>
      </c>
      <c r="B230" s="8" t="s">
        <v>148</v>
      </c>
      <c r="C230" s="8" t="s">
        <v>151</v>
      </c>
      <c r="D230" s="8" t="s">
        <v>152</v>
      </c>
      <c r="E230" s="8" t="s">
        <v>10</v>
      </c>
      <c r="F230" s="8" t="s">
        <v>11</v>
      </c>
      <c r="G230" s="9">
        <v>16524.599999999999</v>
      </c>
      <c r="H230" s="43">
        <v>-3894.3</v>
      </c>
      <c r="I230" s="43">
        <v>12630.3</v>
      </c>
      <c r="J230" s="47"/>
      <c r="K230" s="47"/>
      <c r="L230" s="47"/>
      <c r="M230" s="58"/>
      <c r="N230" s="58"/>
      <c r="O230" s="58"/>
      <c r="P230" s="58"/>
      <c r="Q230" s="58"/>
      <c r="R230" s="58"/>
      <c r="S230" s="40"/>
      <c r="T230" s="40"/>
      <c r="U230" s="40"/>
      <c r="V230" s="40"/>
      <c r="W230" s="16">
        <v>6</v>
      </c>
      <c r="X230" s="16">
        <v>5</v>
      </c>
      <c r="Y230" s="16">
        <v>4</v>
      </c>
      <c r="Z230" s="16">
        <v>6</v>
      </c>
      <c r="AA230" s="16">
        <v>8</v>
      </c>
      <c r="AB230" s="21">
        <f t="shared" si="118"/>
        <v>0.33333333333333331</v>
      </c>
      <c r="AC230" s="33">
        <f>+AA230/AA227</f>
        <v>0.15384615384615385</v>
      </c>
    </row>
    <row r="231" spans="1:29" s="11" customFormat="1" ht="15" x14ac:dyDescent="0.15">
      <c r="A231" s="5"/>
      <c r="B231" s="5" t="s">
        <v>0</v>
      </c>
      <c r="C231" s="5" t="s">
        <v>0</v>
      </c>
      <c r="D231" s="5" t="s">
        <v>0</v>
      </c>
      <c r="E231" s="50" t="s">
        <v>33</v>
      </c>
      <c r="F231" s="5" t="s">
        <v>11</v>
      </c>
      <c r="G231" s="6">
        <v>2008821.6</v>
      </c>
      <c r="H231" s="42">
        <v>-75102.7</v>
      </c>
      <c r="I231" s="42">
        <v>1933718.9</v>
      </c>
      <c r="J231" s="42">
        <v>2007924</v>
      </c>
      <c r="K231" s="42">
        <v>-67722.317666237694</v>
      </c>
      <c r="L231" s="42">
        <f>+J231+K231</f>
        <v>1940201.6823337623</v>
      </c>
      <c r="M231" s="57">
        <f>-913963.61</f>
        <v>-913963.61</v>
      </c>
      <c r="N231" s="57"/>
      <c r="O231" s="57">
        <f>-87468.57</f>
        <v>-87468.57</v>
      </c>
      <c r="P231" s="57">
        <f>-108217.5-2532.13-5558.84-177238.05-9908.13-1689.22</f>
        <v>-305143.87</v>
      </c>
      <c r="Q231" s="57">
        <v>-30480.68</v>
      </c>
      <c r="R231" s="57">
        <f>+Q231+M231</f>
        <v>-944444.29</v>
      </c>
      <c r="S231" s="39">
        <f>+I231+R231</f>
        <v>989274.60999999987</v>
      </c>
      <c r="T231" s="39">
        <f>+L231+R231</f>
        <v>995757.39233376225</v>
      </c>
      <c r="U231" s="39">
        <f>+I231+M231</f>
        <v>1019755.2899999999</v>
      </c>
      <c r="V231" s="39">
        <f>+L231+M231</f>
        <v>1026238.0723337623</v>
      </c>
      <c r="W231" s="15">
        <f>SUM(W232:W235)</f>
        <v>116</v>
      </c>
      <c r="X231" s="15">
        <f t="shared" ref="X231:AA231" si="119">SUM(X232:X235)</f>
        <v>121</v>
      </c>
      <c r="Y231" s="15">
        <f t="shared" si="119"/>
        <v>116</v>
      </c>
      <c r="Z231" s="15">
        <f t="shared" si="119"/>
        <v>127</v>
      </c>
      <c r="AA231" s="15">
        <f t="shared" si="119"/>
        <v>122</v>
      </c>
      <c r="AB231" s="19">
        <f>+(AA231-W231)/W231</f>
        <v>5.1724137931034482E-2</v>
      </c>
      <c r="AC231" s="33"/>
    </row>
    <row r="232" spans="1:29" s="11" customFormat="1" x14ac:dyDescent="0.15">
      <c r="A232" s="8" t="s">
        <v>62</v>
      </c>
      <c r="B232" s="8" t="s">
        <v>195</v>
      </c>
      <c r="C232" s="8" t="s">
        <v>198</v>
      </c>
      <c r="D232" s="8" t="s">
        <v>199</v>
      </c>
      <c r="E232" s="8" t="s">
        <v>33</v>
      </c>
      <c r="F232" s="8" t="s">
        <v>11</v>
      </c>
      <c r="G232" s="9">
        <v>802794</v>
      </c>
      <c r="H232" s="43">
        <v>-19619.400000000001</v>
      </c>
      <c r="I232" s="43">
        <v>783174.6</v>
      </c>
      <c r="J232" s="47"/>
      <c r="K232" s="47"/>
      <c r="L232" s="47"/>
      <c r="M232" s="58"/>
      <c r="N232" s="58"/>
      <c r="O232" s="58"/>
      <c r="P232" s="58"/>
      <c r="Q232" s="58"/>
      <c r="R232" s="58"/>
      <c r="S232" s="40"/>
      <c r="T232" s="40"/>
      <c r="U232" s="40"/>
      <c r="V232" s="40"/>
      <c r="W232" s="16">
        <v>33</v>
      </c>
      <c r="X232" s="16">
        <v>38</v>
      </c>
      <c r="Y232" s="16">
        <v>41</v>
      </c>
      <c r="Z232" s="16">
        <v>41</v>
      </c>
      <c r="AA232" s="16">
        <v>39</v>
      </c>
      <c r="AB232" s="21">
        <f t="shared" ref="AB232:AB235" si="120">+(AA232-W232)/W232</f>
        <v>0.18181818181818182</v>
      </c>
      <c r="AC232" s="33">
        <f>+AA232/AA231</f>
        <v>0.31967213114754101</v>
      </c>
    </row>
    <row r="233" spans="1:29" s="11" customFormat="1" x14ac:dyDescent="0.15">
      <c r="A233" s="8" t="s">
        <v>62</v>
      </c>
      <c r="B233" s="8" t="s">
        <v>195</v>
      </c>
      <c r="C233" s="8" t="s">
        <v>254</v>
      </c>
      <c r="D233" s="8" t="s">
        <v>255</v>
      </c>
      <c r="E233" s="8" t="s">
        <v>33</v>
      </c>
      <c r="F233" s="8" t="s">
        <v>11</v>
      </c>
      <c r="G233" s="9">
        <v>58222.3</v>
      </c>
      <c r="H233" s="43">
        <v>-13165.8</v>
      </c>
      <c r="I233" s="43">
        <v>45056.5</v>
      </c>
      <c r="J233" s="47"/>
      <c r="K233" s="47"/>
      <c r="L233" s="47"/>
      <c r="M233" s="58"/>
      <c r="N233" s="58"/>
      <c r="O233" s="58"/>
      <c r="P233" s="58"/>
      <c r="Q233" s="58"/>
      <c r="R233" s="58"/>
      <c r="S233" s="40"/>
      <c r="T233" s="40"/>
      <c r="U233" s="40"/>
      <c r="V233" s="40"/>
      <c r="W233" s="16">
        <v>20</v>
      </c>
      <c r="X233" s="16">
        <v>18</v>
      </c>
      <c r="Y233" s="16">
        <v>15</v>
      </c>
      <c r="Z233" s="16">
        <v>18</v>
      </c>
      <c r="AA233" s="16">
        <v>16</v>
      </c>
      <c r="AB233" s="30">
        <f t="shared" si="120"/>
        <v>-0.2</v>
      </c>
      <c r="AC233" s="33">
        <f>+AA233/AA231</f>
        <v>0.13114754098360656</v>
      </c>
    </row>
    <row r="234" spans="1:29" s="11" customFormat="1" x14ac:dyDescent="0.15">
      <c r="A234" s="8" t="s">
        <v>62</v>
      </c>
      <c r="B234" s="8" t="s">
        <v>148</v>
      </c>
      <c r="C234" s="8" t="s">
        <v>170</v>
      </c>
      <c r="D234" s="8" t="s">
        <v>171</v>
      </c>
      <c r="E234" s="8" t="s">
        <v>33</v>
      </c>
      <c r="F234" s="8" t="s">
        <v>11</v>
      </c>
      <c r="G234" s="9">
        <v>17260.8</v>
      </c>
      <c r="H234" s="43">
        <v>-1894.5</v>
      </c>
      <c r="I234" s="43">
        <v>15366.3</v>
      </c>
      <c r="J234" s="47"/>
      <c r="K234" s="47"/>
      <c r="L234" s="47"/>
      <c r="M234" s="58"/>
      <c r="N234" s="58"/>
      <c r="O234" s="58"/>
      <c r="P234" s="58"/>
      <c r="Q234" s="58"/>
      <c r="R234" s="58"/>
      <c r="S234" s="40"/>
      <c r="T234" s="40"/>
      <c r="U234" s="40"/>
      <c r="V234" s="40"/>
      <c r="W234" s="16">
        <v>10</v>
      </c>
      <c r="X234" s="16">
        <v>6</v>
      </c>
      <c r="Y234" s="16">
        <v>1</v>
      </c>
      <c r="Z234" s="16">
        <v>6</v>
      </c>
      <c r="AA234" s="16">
        <v>7</v>
      </c>
      <c r="AB234" s="30">
        <f t="shared" si="120"/>
        <v>-0.3</v>
      </c>
      <c r="AC234" s="33">
        <f>+AA234/AA231</f>
        <v>5.737704918032787E-2</v>
      </c>
    </row>
    <row r="235" spans="1:29" s="11" customFormat="1" x14ac:dyDescent="0.15">
      <c r="A235" s="8" t="s">
        <v>62</v>
      </c>
      <c r="B235" s="8" t="s">
        <v>195</v>
      </c>
      <c r="C235" s="8" t="s">
        <v>283</v>
      </c>
      <c r="D235" s="8" t="s">
        <v>284</v>
      </c>
      <c r="E235" s="8" t="s">
        <v>33</v>
      </c>
      <c r="F235" s="8" t="s">
        <v>11</v>
      </c>
      <c r="G235" s="9">
        <v>1130544.5</v>
      </c>
      <c r="H235" s="43">
        <v>-40423</v>
      </c>
      <c r="I235" s="43">
        <v>1090121.5</v>
      </c>
      <c r="J235" s="47"/>
      <c r="K235" s="47"/>
      <c r="L235" s="47"/>
      <c r="M235" s="58"/>
      <c r="N235" s="58"/>
      <c r="O235" s="58"/>
      <c r="P235" s="58"/>
      <c r="Q235" s="58"/>
      <c r="R235" s="58"/>
      <c r="S235" s="40"/>
      <c r="T235" s="40"/>
      <c r="U235" s="40"/>
      <c r="V235" s="40"/>
      <c r="W235" s="16">
        <v>53</v>
      </c>
      <c r="X235" s="16">
        <v>59</v>
      </c>
      <c r="Y235" s="16">
        <v>59</v>
      </c>
      <c r="Z235" s="16">
        <v>62</v>
      </c>
      <c r="AA235" s="16">
        <v>60</v>
      </c>
      <c r="AB235" s="21">
        <f t="shared" si="120"/>
        <v>0.13207547169811321</v>
      </c>
      <c r="AC235" s="33">
        <f>+AA235/AA231</f>
        <v>0.49180327868852458</v>
      </c>
    </row>
    <row r="236" spans="1:29" s="11" customFormat="1" ht="15" x14ac:dyDescent="0.15">
      <c r="A236" s="5"/>
      <c r="B236" s="5" t="s">
        <v>0</v>
      </c>
      <c r="C236" s="5" t="s">
        <v>0</v>
      </c>
      <c r="D236" s="5" t="s">
        <v>0</v>
      </c>
      <c r="E236" s="50" t="s">
        <v>508</v>
      </c>
      <c r="F236" s="5" t="s">
        <v>11</v>
      </c>
      <c r="G236" s="6">
        <v>19476880.739999998</v>
      </c>
      <c r="H236" s="42">
        <v>-1160671.8500000001</v>
      </c>
      <c r="I236" s="42">
        <v>18316208.890000001</v>
      </c>
      <c r="J236" s="42">
        <v>17878776.030000001</v>
      </c>
      <c r="K236" s="42">
        <v>-1185531.59209901</v>
      </c>
      <c r="L236" s="42">
        <f>+J236+K236</f>
        <v>16693244.43790099</v>
      </c>
      <c r="M236" s="57">
        <f>-1424954.07-241974.46-332305.7-12095.22-76737.4-212436.05</f>
        <v>-2300502.9</v>
      </c>
      <c r="N236" s="57">
        <v>-38679.06</v>
      </c>
      <c r="O236" s="57">
        <f>-382637.21-185177.65-133626.66-45758.2-93286.11</f>
        <v>-840485.83</v>
      </c>
      <c r="P236" s="57">
        <f>-3600-431.48-4430.23-179.24-4000-4599.14</f>
        <v>-17240.09</v>
      </c>
      <c r="Q236" s="57">
        <v>-67601.64</v>
      </c>
      <c r="R236" s="57">
        <f>+Q236+M236</f>
        <v>-2368104.54</v>
      </c>
      <c r="S236" s="39">
        <f>+I236+R236</f>
        <v>15948104.350000001</v>
      </c>
      <c r="T236" s="39">
        <f>+L236+R236</f>
        <v>14325139.897900991</v>
      </c>
      <c r="U236" s="39">
        <f>+I236+M236</f>
        <v>16015705.99</v>
      </c>
      <c r="V236" s="39">
        <f>+L236+M236</f>
        <v>14392741.53790099</v>
      </c>
      <c r="W236" s="15">
        <f>SUM(W237:W238)</f>
        <v>686</v>
      </c>
      <c r="X236" s="15">
        <f t="shared" ref="X236:AA236" si="121">SUM(X237:X238)</f>
        <v>696</v>
      </c>
      <c r="Y236" s="15">
        <f t="shared" si="121"/>
        <v>706</v>
      </c>
      <c r="Z236" s="15">
        <f t="shared" si="121"/>
        <v>698</v>
      </c>
      <c r="AA236" s="15">
        <f t="shared" si="121"/>
        <v>713</v>
      </c>
      <c r="AB236" s="19">
        <f>+(AA236-W236)/W236</f>
        <v>3.9358600583090382E-2</v>
      </c>
      <c r="AC236" s="33"/>
    </row>
    <row r="237" spans="1:29" s="11" customFormat="1" x14ac:dyDescent="0.15">
      <c r="A237" s="8" t="s">
        <v>316</v>
      </c>
      <c r="B237" s="8" t="s">
        <v>59</v>
      </c>
      <c r="C237" s="8" t="s">
        <v>317</v>
      </c>
      <c r="D237" s="8" t="s">
        <v>318</v>
      </c>
      <c r="E237" s="8" t="s">
        <v>39</v>
      </c>
      <c r="F237" s="8" t="s">
        <v>11</v>
      </c>
      <c r="G237" s="9">
        <v>13417014.300000001</v>
      </c>
      <c r="H237" s="43">
        <v>-790081.15</v>
      </c>
      <c r="I237" s="43">
        <v>12626933.15</v>
      </c>
      <c r="J237" s="47"/>
      <c r="K237" s="47"/>
      <c r="L237" s="47"/>
      <c r="M237" s="58"/>
      <c r="N237" s="58"/>
      <c r="O237" s="58"/>
      <c r="P237" s="58"/>
      <c r="Q237" s="58"/>
      <c r="R237" s="58"/>
      <c r="S237" s="40"/>
      <c r="T237" s="40"/>
      <c r="U237" s="40"/>
      <c r="V237" s="40"/>
      <c r="W237" s="16">
        <v>447</v>
      </c>
      <c r="X237" s="16">
        <v>469</v>
      </c>
      <c r="Y237" s="16">
        <v>476</v>
      </c>
      <c r="Z237" s="16">
        <v>466</v>
      </c>
      <c r="AA237" s="16">
        <v>481</v>
      </c>
      <c r="AB237" s="21">
        <f t="shared" ref="AB237:AB238" si="122">+(AA237-W237)/W237</f>
        <v>7.6062639821029079E-2</v>
      </c>
      <c r="AC237" s="33">
        <f>+AA237/AA236</f>
        <v>0.67461430575035064</v>
      </c>
    </row>
    <row r="238" spans="1:29" s="11" customFormat="1" x14ac:dyDescent="0.15">
      <c r="A238" s="8" t="s">
        <v>321</v>
      </c>
      <c r="B238" s="8" t="s">
        <v>322</v>
      </c>
      <c r="C238" s="8" t="s">
        <v>399</v>
      </c>
      <c r="D238" s="8" t="s">
        <v>400</v>
      </c>
      <c r="E238" s="8" t="s">
        <v>39</v>
      </c>
      <c r="F238" s="8" t="s">
        <v>11</v>
      </c>
      <c r="G238" s="9">
        <v>6059866.4400000004</v>
      </c>
      <c r="H238" s="43">
        <v>-370590.7</v>
      </c>
      <c r="I238" s="43">
        <v>5689275.7400000002</v>
      </c>
      <c r="J238" s="47"/>
      <c r="K238" s="47"/>
      <c r="L238" s="47"/>
      <c r="M238" s="58"/>
      <c r="N238" s="58"/>
      <c r="O238" s="58"/>
      <c r="P238" s="58"/>
      <c r="Q238" s="58"/>
      <c r="R238" s="58"/>
      <c r="S238" s="40"/>
      <c r="T238" s="40"/>
      <c r="U238" s="40"/>
      <c r="V238" s="40"/>
      <c r="W238" s="25">
        <v>239</v>
      </c>
      <c r="X238" s="25">
        <v>227</v>
      </c>
      <c r="Y238" s="16">
        <v>230</v>
      </c>
      <c r="Z238" s="16">
        <v>232</v>
      </c>
      <c r="AA238" s="16">
        <v>232</v>
      </c>
      <c r="AB238" s="30">
        <f t="shared" si="122"/>
        <v>-2.9288702928870293E-2</v>
      </c>
      <c r="AC238" s="33">
        <f>+AA238/AA236</f>
        <v>0.32538569424964936</v>
      </c>
    </row>
    <row r="239" spans="1:29" s="11" customFormat="1" x14ac:dyDescent="0.15">
      <c r="A239" s="5"/>
      <c r="B239" s="5" t="s">
        <v>0</v>
      </c>
      <c r="C239" s="5" t="s">
        <v>0</v>
      </c>
      <c r="D239" s="5" t="s">
        <v>0</v>
      </c>
      <c r="E239" s="5" t="s">
        <v>41</v>
      </c>
      <c r="F239" s="5" t="s">
        <v>42</v>
      </c>
      <c r="G239" s="6">
        <v>11753966.48</v>
      </c>
      <c r="H239" s="42">
        <v>-1641221.9724999999</v>
      </c>
      <c r="I239" s="42">
        <v>10112744.5075</v>
      </c>
      <c r="J239" s="42">
        <v>10294048.73</v>
      </c>
      <c r="K239" s="42">
        <f>-1179433.31678038-107</f>
        <v>-1179540.31678038</v>
      </c>
      <c r="L239" s="42">
        <f>+J239+K239</f>
        <v>9114508.4132196195</v>
      </c>
      <c r="M239" s="57">
        <f>-4325524.16</f>
        <v>-4325524.16</v>
      </c>
      <c r="N239" s="57">
        <v>-7669.81</v>
      </c>
      <c r="O239" s="57">
        <v>-319110.87</v>
      </c>
      <c r="P239" s="57">
        <v>-213024.82</v>
      </c>
      <c r="Q239" s="57"/>
      <c r="R239" s="57">
        <f>+Q239+M239</f>
        <v>-4325524.16</v>
      </c>
      <c r="S239" s="39">
        <f>+I239+R239</f>
        <v>5787220.3475000001</v>
      </c>
      <c r="T239" s="39">
        <f>+L239+R239</f>
        <v>4788984.2532196194</v>
      </c>
      <c r="U239" s="39">
        <f>+I239+M239</f>
        <v>5787220.3475000001</v>
      </c>
      <c r="V239" s="39">
        <f>+L239+M239</f>
        <v>4788984.2532196194</v>
      </c>
      <c r="W239" s="15">
        <f>SUM(W240:W252)</f>
        <v>1584</v>
      </c>
      <c r="X239" s="15">
        <f t="shared" ref="X239:AA239" si="123">SUM(X240:X252)</f>
        <v>1683</v>
      </c>
      <c r="Y239" s="15">
        <f t="shared" si="123"/>
        <v>1571</v>
      </c>
      <c r="Z239" s="15">
        <f t="shared" si="123"/>
        <v>1749</v>
      </c>
      <c r="AA239" s="15">
        <f t="shared" si="123"/>
        <v>1720</v>
      </c>
      <c r="AB239" s="19">
        <f>+(AA239-W239)/W239</f>
        <v>8.5858585858585856E-2</v>
      </c>
      <c r="AC239" s="33"/>
    </row>
    <row r="240" spans="1:29" s="11" customFormat="1" x14ac:dyDescent="0.15">
      <c r="A240" s="8" t="s">
        <v>62</v>
      </c>
      <c r="B240" s="8" t="s">
        <v>148</v>
      </c>
      <c r="C240" s="8" t="s">
        <v>149</v>
      </c>
      <c r="D240" s="8" t="s">
        <v>150</v>
      </c>
      <c r="E240" s="8" t="s">
        <v>41</v>
      </c>
      <c r="F240" s="8" t="s">
        <v>42</v>
      </c>
      <c r="G240" s="9">
        <v>1955.4</v>
      </c>
      <c r="H240" s="43"/>
      <c r="I240" s="43">
        <v>1955.4</v>
      </c>
      <c r="J240" s="47"/>
      <c r="K240" s="47"/>
      <c r="L240" s="47"/>
      <c r="M240" s="58"/>
      <c r="N240" s="58"/>
      <c r="O240" s="58"/>
      <c r="P240" s="58"/>
      <c r="Q240" s="58"/>
      <c r="R240" s="58"/>
      <c r="S240" s="40"/>
      <c r="T240" s="40"/>
      <c r="U240" s="40"/>
      <c r="V240" s="40"/>
      <c r="W240" s="16"/>
      <c r="X240" s="16"/>
      <c r="Y240" s="16"/>
      <c r="Z240" s="16"/>
      <c r="AA240" s="16">
        <v>5</v>
      </c>
      <c r="AB240" s="22"/>
      <c r="AC240" s="33">
        <f>+AA240/AA239</f>
        <v>2.9069767441860465E-3</v>
      </c>
    </row>
    <row r="241" spans="1:29" s="11" customFormat="1" x14ac:dyDescent="0.15">
      <c r="A241" s="8" t="s">
        <v>62</v>
      </c>
      <c r="B241" s="8" t="s">
        <v>148</v>
      </c>
      <c r="C241" s="8" t="s">
        <v>182</v>
      </c>
      <c r="D241" s="8" t="s">
        <v>183</v>
      </c>
      <c r="E241" s="8" t="s">
        <v>41</v>
      </c>
      <c r="F241" s="8" t="s">
        <v>42</v>
      </c>
      <c r="G241" s="9">
        <v>3910.8</v>
      </c>
      <c r="H241" s="43"/>
      <c r="I241" s="43">
        <v>3910.8</v>
      </c>
      <c r="J241" s="47"/>
      <c r="K241" s="47"/>
      <c r="L241" s="47"/>
      <c r="M241" s="58"/>
      <c r="N241" s="58"/>
      <c r="O241" s="58"/>
      <c r="P241" s="58"/>
      <c r="Q241" s="58"/>
      <c r="R241" s="58"/>
      <c r="S241" s="40"/>
      <c r="T241" s="40"/>
      <c r="U241" s="40"/>
      <c r="V241" s="40"/>
      <c r="W241" s="16"/>
      <c r="X241" s="16"/>
      <c r="Y241" s="16">
        <v>1</v>
      </c>
      <c r="Z241" s="16">
        <v>3</v>
      </c>
      <c r="AA241" s="16">
        <v>2</v>
      </c>
      <c r="AB241" s="20">
        <f t="shared" ref="AB241:AB245" si="124">+(AA241-Y241)/Y241</f>
        <v>1</v>
      </c>
      <c r="AC241" s="33">
        <f>+AA241/AA239</f>
        <v>1.1627906976744186E-3</v>
      </c>
    </row>
    <row r="242" spans="1:29" s="11" customFormat="1" x14ac:dyDescent="0.15">
      <c r="A242" s="8" t="s">
        <v>62</v>
      </c>
      <c r="B242" s="8" t="s">
        <v>148</v>
      </c>
      <c r="C242" s="8" t="s">
        <v>164</v>
      </c>
      <c r="D242" s="8" t="s">
        <v>165</v>
      </c>
      <c r="E242" s="8" t="s">
        <v>41</v>
      </c>
      <c r="F242" s="8" t="s">
        <v>42</v>
      </c>
      <c r="G242" s="9">
        <v>65608.05</v>
      </c>
      <c r="H242" s="43"/>
      <c r="I242" s="43">
        <v>65608.05</v>
      </c>
      <c r="J242" s="47"/>
      <c r="K242" s="47"/>
      <c r="L242" s="47"/>
      <c r="M242" s="58"/>
      <c r="N242" s="58"/>
      <c r="O242" s="58"/>
      <c r="P242" s="58"/>
      <c r="Q242" s="58"/>
      <c r="R242" s="58"/>
      <c r="S242" s="40"/>
      <c r="T242" s="40"/>
      <c r="U242" s="40"/>
      <c r="V242" s="40"/>
      <c r="W242" s="16"/>
      <c r="X242" s="16"/>
      <c r="Y242" s="16">
        <v>3</v>
      </c>
      <c r="Z242" s="16">
        <v>7</v>
      </c>
      <c r="AA242" s="16">
        <v>12</v>
      </c>
      <c r="AB242" s="20">
        <f t="shared" si="124"/>
        <v>3</v>
      </c>
      <c r="AC242" s="33">
        <f>+AA242/$AA$239</f>
        <v>6.9767441860465115E-3</v>
      </c>
    </row>
    <row r="243" spans="1:29" s="11" customFormat="1" x14ac:dyDescent="0.15">
      <c r="A243" s="8" t="s">
        <v>62</v>
      </c>
      <c r="B243" s="8" t="s">
        <v>148</v>
      </c>
      <c r="C243" s="8" t="s">
        <v>178</v>
      </c>
      <c r="D243" s="8" t="s">
        <v>179</v>
      </c>
      <c r="E243" s="8" t="s">
        <v>41</v>
      </c>
      <c r="F243" s="8" t="s">
        <v>42</v>
      </c>
      <c r="G243" s="9">
        <v>48080.7</v>
      </c>
      <c r="H243" s="43"/>
      <c r="I243" s="43">
        <v>48080.7</v>
      </c>
      <c r="J243" s="47"/>
      <c r="K243" s="47"/>
      <c r="L243" s="47"/>
      <c r="M243" s="58"/>
      <c r="N243" s="58"/>
      <c r="O243" s="58"/>
      <c r="P243" s="58"/>
      <c r="Q243" s="58"/>
      <c r="R243" s="58"/>
      <c r="S243" s="40"/>
      <c r="T243" s="40"/>
      <c r="U243" s="40"/>
      <c r="V243" s="40"/>
      <c r="W243" s="16"/>
      <c r="X243" s="16"/>
      <c r="Y243" s="16">
        <v>3</v>
      </c>
      <c r="Z243" s="16">
        <v>6</v>
      </c>
      <c r="AA243" s="16">
        <v>10</v>
      </c>
      <c r="AB243" s="20">
        <f t="shared" si="124"/>
        <v>2.3333333333333335</v>
      </c>
      <c r="AC243" s="33">
        <f t="shared" ref="AC243:AC252" si="125">+AA243/$AA$239</f>
        <v>5.8139534883720929E-3</v>
      </c>
    </row>
    <row r="244" spans="1:29" s="11" customFormat="1" x14ac:dyDescent="0.15">
      <c r="A244" s="8" t="s">
        <v>62</v>
      </c>
      <c r="B244" s="8" t="s">
        <v>148</v>
      </c>
      <c r="C244" s="8" t="s">
        <v>189</v>
      </c>
      <c r="D244" s="8" t="s">
        <v>190</v>
      </c>
      <c r="E244" s="8" t="s">
        <v>41</v>
      </c>
      <c r="F244" s="8" t="s">
        <v>42</v>
      </c>
      <c r="G244" s="9">
        <v>126900.45</v>
      </c>
      <c r="H244" s="43">
        <v>-17831.509999999998</v>
      </c>
      <c r="I244" s="43">
        <v>109068.94</v>
      </c>
      <c r="J244" s="47"/>
      <c r="K244" s="47"/>
      <c r="L244" s="47"/>
      <c r="M244" s="58"/>
      <c r="N244" s="58"/>
      <c r="O244" s="58"/>
      <c r="P244" s="58"/>
      <c r="Q244" s="58"/>
      <c r="R244" s="58"/>
      <c r="S244" s="40"/>
      <c r="T244" s="40"/>
      <c r="U244" s="40"/>
      <c r="V244" s="40"/>
      <c r="W244" s="16"/>
      <c r="X244" s="16"/>
      <c r="Y244" s="16">
        <v>10</v>
      </c>
      <c r="Z244" s="16">
        <v>27</v>
      </c>
      <c r="AA244" s="16">
        <v>28</v>
      </c>
      <c r="AB244" s="20">
        <f t="shared" si="124"/>
        <v>1.8</v>
      </c>
      <c r="AC244" s="33">
        <f t="shared" si="125"/>
        <v>1.627906976744186E-2</v>
      </c>
    </row>
    <row r="245" spans="1:29" s="11" customFormat="1" x14ac:dyDescent="0.15">
      <c r="A245" s="8" t="s">
        <v>62</v>
      </c>
      <c r="B245" s="8" t="s">
        <v>148</v>
      </c>
      <c r="C245" s="8" t="s">
        <v>184</v>
      </c>
      <c r="D245" s="8" t="s">
        <v>185</v>
      </c>
      <c r="E245" s="8" t="s">
        <v>41</v>
      </c>
      <c r="F245" s="8" t="s">
        <v>42</v>
      </c>
      <c r="G245" s="9">
        <v>5189.3999999999996</v>
      </c>
      <c r="H245" s="43"/>
      <c r="I245" s="43">
        <v>5189.3999999999996</v>
      </c>
      <c r="J245" s="47"/>
      <c r="K245" s="47"/>
      <c r="L245" s="47"/>
      <c r="M245" s="58"/>
      <c r="N245" s="58"/>
      <c r="O245" s="58"/>
      <c r="P245" s="58"/>
      <c r="Q245" s="58"/>
      <c r="R245" s="58"/>
      <c r="S245" s="40"/>
      <c r="T245" s="40"/>
      <c r="U245" s="40"/>
      <c r="V245" s="40"/>
      <c r="W245" s="16"/>
      <c r="X245" s="16"/>
      <c r="Y245" s="16">
        <v>1</v>
      </c>
      <c r="Z245" s="16">
        <v>1</v>
      </c>
      <c r="AA245" s="16">
        <v>3</v>
      </c>
      <c r="AB245" s="20">
        <f t="shared" si="124"/>
        <v>2</v>
      </c>
      <c r="AC245" s="33">
        <f t="shared" si="125"/>
        <v>1.7441860465116279E-3</v>
      </c>
    </row>
    <row r="246" spans="1:29" s="11" customFormat="1" x14ac:dyDescent="0.15">
      <c r="A246" s="8" t="s">
        <v>62</v>
      </c>
      <c r="B246" s="8" t="s">
        <v>117</v>
      </c>
      <c r="C246" s="8" t="s">
        <v>131</v>
      </c>
      <c r="D246" s="8" t="s">
        <v>132</v>
      </c>
      <c r="E246" s="8" t="s">
        <v>41</v>
      </c>
      <c r="F246" s="8" t="s">
        <v>42</v>
      </c>
      <c r="G246" s="9">
        <v>1429711.15</v>
      </c>
      <c r="H246" s="43">
        <v>-38641.760000000002</v>
      </c>
      <c r="I246" s="43">
        <v>1391069.39</v>
      </c>
      <c r="J246" s="47"/>
      <c r="K246" s="47"/>
      <c r="L246" s="47"/>
      <c r="M246" s="58"/>
      <c r="N246" s="58"/>
      <c r="O246" s="58"/>
      <c r="P246" s="58"/>
      <c r="Q246" s="58"/>
      <c r="R246" s="58"/>
      <c r="S246" s="40"/>
      <c r="T246" s="40"/>
      <c r="U246" s="40"/>
      <c r="V246" s="40"/>
      <c r="W246" s="16">
        <v>194</v>
      </c>
      <c r="X246" s="16">
        <v>293</v>
      </c>
      <c r="Y246" s="16">
        <v>170</v>
      </c>
      <c r="Z246" s="16">
        <v>221</v>
      </c>
      <c r="AA246" s="16">
        <v>225</v>
      </c>
      <c r="AB246" s="21">
        <f t="shared" ref="AB246:AB248" si="126">+(AA246-W246)/W246</f>
        <v>0.15979381443298968</v>
      </c>
      <c r="AC246" s="33">
        <f t="shared" si="125"/>
        <v>0.1308139534883721</v>
      </c>
    </row>
    <row r="247" spans="1:29" s="11" customFormat="1" x14ac:dyDescent="0.15">
      <c r="A247" s="8" t="s">
        <v>62</v>
      </c>
      <c r="B247" s="8" t="s">
        <v>195</v>
      </c>
      <c r="C247" s="8" t="s">
        <v>275</v>
      </c>
      <c r="D247" s="8" t="s">
        <v>276</v>
      </c>
      <c r="E247" s="8" t="s">
        <v>41</v>
      </c>
      <c r="F247" s="8" t="s">
        <v>42</v>
      </c>
      <c r="G247" s="9">
        <v>3063167</v>
      </c>
      <c r="H247" s="43">
        <v>-148548.17000000001</v>
      </c>
      <c r="I247" s="43">
        <v>2914618.83</v>
      </c>
      <c r="J247" s="47"/>
      <c r="K247" s="47"/>
      <c r="L247" s="47"/>
      <c r="M247" s="58"/>
      <c r="N247" s="58"/>
      <c r="O247" s="58"/>
      <c r="P247" s="58"/>
      <c r="Q247" s="58"/>
      <c r="R247" s="58"/>
      <c r="S247" s="40"/>
      <c r="T247" s="40"/>
      <c r="U247" s="40"/>
      <c r="V247" s="40"/>
      <c r="W247" s="16">
        <v>111</v>
      </c>
      <c r="X247" s="16">
        <v>210</v>
      </c>
      <c r="Y247" s="16">
        <v>330</v>
      </c>
      <c r="Z247" s="32">
        <v>455</v>
      </c>
      <c r="AA247" s="32">
        <v>474</v>
      </c>
      <c r="AB247" s="21">
        <f t="shared" si="126"/>
        <v>3.2702702702702702</v>
      </c>
      <c r="AC247" s="33">
        <f t="shared" si="125"/>
        <v>0.27558139534883719</v>
      </c>
    </row>
    <row r="248" spans="1:29" s="11" customFormat="1" x14ac:dyDescent="0.15">
      <c r="A248" s="8" t="s">
        <v>62</v>
      </c>
      <c r="B248" s="8" t="s">
        <v>117</v>
      </c>
      <c r="C248" s="8" t="s">
        <v>129</v>
      </c>
      <c r="D248" s="8" t="s">
        <v>130</v>
      </c>
      <c r="E248" s="8" t="s">
        <v>41</v>
      </c>
      <c r="F248" s="8" t="s">
        <v>42</v>
      </c>
      <c r="G248" s="9">
        <v>238248</v>
      </c>
      <c r="H248" s="43">
        <v>-7970.55</v>
      </c>
      <c r="I248" s="43">
        <v>230277.45</v>
      </c>
      <c r="J248" s="47"/>
      <c r="K248" s="47"/>
      <c r="L248" s="47"/>
      <c r="M248" s="58"/>
      <c r="N248" s="58"/>
      <c r="O248" s="58"/>
      <c r="P248" s="58"/>
      <c r="Q248" s="58"/>
      <c r="R248" s="58"/>
      <c r="S248" s="40"/>
      <c r="T248" s="40"/>
      <c r="U248" s="40"/>
      <c r="V248" s="40"/>
      <c r="W248" s="16">
        <v>46</v>
      </c>
      <c r="X248" s="16">
        <v>47</v>
      </c>
      <c r="Y248" s="16">
        <v>43</v>
      </c>
      <c r="Z248" s="16">
        <v>52</v>
      </c>
      <c r="AA248" s="16">
        <v>46</v>
      </c>
      <c r="AB248" s="21">
        <f t="shared" si="126"/>
        <v>0</v>
      </c>
      <c r="AC248" s="33">
        <f t="shared" si="125"/>
        <v>2.6744186046511628E-2</v>
      </c>
    </row>
    <row r="249" spans="1:29" s="11" customFormat="1" x14ac:dyDescent="0.15">
      <c r="A249" s="8" t="s">
        <v>62</v>
      </c>
      <c r="B249" s="8" t="s">
        <v>148</v>
      </c>
      <c r="C249" s="8" t="s">
        <v>193</v>
      </c>
      <c r="D249" s="8" t="s">
        <v>194</v>
      </c>
      <c r="E249" s="8" t="s">
        <v>41</v>
      </c>
      <c r="F249" s="8" t="s">
        <v>42</v>
      </c>
      <c r="G249" s="9">
        <v>1955.4</v>
      </c>
      <c r="H249" s="43"/>
      <c r="I249" s="43">
        <v>1955.4</v>
      </c>
      <c r="J249" s="47"/>
      <c r="K249" s="47"/>
      <c r="L249" s="47"/>
      <c r="M249" s="58"/>
      <c r="N249" s="58"/>
      <c r="O249" s="58"/>
      <c r="P249" s="58"/>
      <c r="Q249" s="58"/>
      <c r="R249" s="58"/>
      <c r="S249" s="40"/>
      <c r="T249" s="40"/>
      <c r="U249" s="40"/>
      <c r="V249" s="40"/>
      <c r="W249" s="16"/>
      <c r="X249" s="16"/>
      <c r="Y249" s="16"/>
      <c r="Z249" s="16"/>
      <c r="AA249" s="16">
        <v>1</v>
      </c>
      <c r="AB249" s="22"/>
      <c r="AC249" s="33">
        <f t="shared" si="125"/>
        <v>5.8139534883720929E-4</v>
      </c>
    </row>
    <row r="250" spans="1:29" s="11" customFormat="1" x14ac:dyDescent="0.15">
      <c r="A250" s="8" t="s">
        <v>321</v>
      </c>
      <c r="B250" s="8" t="s">
        <v>322</v>
      </c>
      <c r="C250" s="8" t="s">
        <v>381</v>
      </c>
      <c r="D250" s="8" t="s">
        <v>382</v>
      </c>
      <c r="E250" s="8" t="s">
        <v>41</v>
      </c>
      <c r="F250" s="8" t="s">
        <v>42</v>
      </c>
      <c r="G250" s="9">
        <v>4306777.9800000004</v>
      </c>
      <c r="H250" s="43">
        <v>-1003400.0325</v>
      </c>
      <c r="I250" s="43">
        <v>3303377.9474999998</v>
      </c>
      <c r="J250" s="47"/>
      <c r="K250" s="47"/>
      <c r="L250" s="47"/>
      <c r="M250" s="58"/>
      <c r="N250" s="58"/>
      <c r="O250" s="58"/>
      <c r="P250" s="58"/>
      <c r="Q250" s="58"/>
      <c r="R250" s="58"/>
      <c r="S250" s="40"/>
      <c r="T250" s="40"/>
      <c r="U250" s="40"/>
      <c r="V250" s="40"/>
      <c r="W250" s="25">
        <v>708</v>
      </c>
      <c r="X250" s="25">
        <v>685</v>
      </c>
      <c r="Y250" s="16">
        <v>617</v>
      </c>
      <c r="Z250" s="16">
        <v>607</v>
      </c>
      <c r="AA250" s="16">
        <v>563</v>
      </c>
      <c r="AB250" s="30">
        <f t="shared" ref="AB250:AB251" si="127">+(AA250-W250)/W250</f>
        <v>-0.20480225988700565</v>
      </c>
      <c r="AC250" s="33">
        <f t="shared" si="125"/>
        <v>0.32732558139534884</v>
      </c>
    </row>
    <row r="251" spans="1:29" s="11" customFormat="1" x14ac:dyDescent="0.15">
      <c r="A251" s="8" t="s">
        <v>321</v>
      </c>
      <c r="B251" s="8" t="s">
        <v>322</v>
      </c>
      <c r="C251" s="8" t="s">
        <v>412</v>
      </c>
      <c r="D251" s="8" t="s">
        <v>413</v>
      </c>
      <c r="E251" s="8" t="s">
        <v>41</v>
      </c>
      <c r="F251" s="8" t="s">
        <v>42</v>
      </c>
      <c r="G251" s="9">
        <v>2234838.85</v>
      </c>
      <c r="H251" s="43">
        <v>-388346.69</v>
      </c>
      <c r="I251" s="43">
        <v>1846492.1599999999</v>
      </c>
      <c r="J251" s="47"/>
      <c r="K251" s="47"/>
      <c r="L251" s="47"/>
      <c r="M251" s="58"/>
      <c r="N251" s="58"/>
      <c r="O251" s="58"/>
      <c r="P251" s="58"/>
      <c r="Q251" s="58"/>
      <c r="R251" s="58"/>
      <c r="S251" s="40"/>
      <c r="T251" s="40"/>
      <c r="U251" s="40"/>
      <c r="V251" s="40"/>
      <c r="W251" s="25">
        <v>525</v>
      </c>
      <c r="X251" s="25">
        <v>448</v>
      </c>
      <c r="Y251" s="16">
        <v>385</v>
      </c>
      <c r="Z251" s="16">
        <v>348</v>
      </c>
      <c r="AA251" s="16">
        <v>321</v>
      </c>
      <c r="AB251" s="30">
        <f t="shared" si="127"/>
        <v>-0.38857142857142857</v>
      </c>
      <c r="AC251" s="33">
        <f t="shared" si="125"/>
        <v>0.1866279069767442</v>
      </c>
    </row>
    <row r="252" spans="1:29" s="11" customFormat="1" x14ac:dyDescent="0.15">
      <c r="A252" s="8" t="s">
        <v>321</v>
      </c>
      <c r="B252" s="8" t="s">
        <v>322</v>
      </c>
      <c r="C252" s="8" t="s">
        <v>430</v>
      </c>
      <c r="D252" s="8" t="s">
        <v>431</v>
      </c>
      <c r="E252" s="8" t="s">
        <v>41</v>
      </c>
      <c r="F252" s="8" t="s">
        <v>42</v>
      </c>
      <c r="G252" s="9">
        <v>227623.3</v>
      </c>
      <c r="H252" s="43">
        <v>-36483.26</v>
      </c>
      <c r="I252" s="43">
        <v>191140.04</v>
      </c>
      <c r="J252" s="47"/>
      <c r="K252" s="47"/>
      <c r="L252" s="47"/>
      <c r="M252" s="58"/>
      <c r="N252" s="58"/>
      <c r="O252" s="58"/>
      <c r="P252" s="58"/>
      <c r="Q252" s="58"/>
      <c r="R252" s="58"/>
      <c r="S252" s="40"/>
      <c r="T252" s="40"/>
      <c r="U252" s="40"/>
      <c r="V252" s="40"/>
      <c r="W252" s="16"/>
      <c r="X252" s="16"/>
      <c r="Y252" s="16">
        <v>8</v>
      </c>
      <c r="Z252" s="16">
        <v>22</v>
      </c>
      <c r="AA252" s="16">
        <v>30</v>
      </c>
      <c r="AB252" s="20">
        <f>+(AA252-Y252)/Y252</f>
        <v>2.75</v>
      </c>
      <c r="AC252" s="33">
        <f t="shared" si="125"/>
        <v>1.7441860465116279E-2</v>
      </c>
    </row>
    <row r="253" spans="1:29" s="11" customFormat="1" x14ac:dyDescent="0.15">
      <c r="A253" s="5"/>
      <c r="B253" s="5" t="s">
        <v>0</v>
      </c>
      <c r="C253" s="5" t="s">
        <v>0</v>
      </c>
      <c r="D253" s="5" t="s">
        <v>0</v>
      </c>
      <c r="E253" s="5" t="s">
        <v>46</v>
      </c>
      <c r="F253" s="5" t="s">
        <v>47</v>
      </c>
      <c r="G253" s="6">
        <v>16374685.74</v>
      </c>
      <c r="H253" s="42">
        <v>-1666477.15</v>
      </c>
      <c r="I253" s="42">
        <v>14708208.59</v>
      </c>
      <c r="J253" s="42">
        <v>14340484.68</v>
      </c>
      <c r="K253" s="42">
        <v>-1350971.4652678899</v>
      </c>
      <c r="L253" s="42">
        <f>+J253+K253</f>
        <v>12989513.214732111</v>
      </c>
      <c r="M253" s="57">
        <f>-7142081.44</f>
        <v>-7142081.4400000004</v>
      </c>
      <c r="N253" s="57">
        <v>-41446.43</v>
      </c>
      <c r="O253" s="57">
        <v>-292001.02</v>
      </c>
      <c r="P253" s="57">
        <v>-385138.66</v>
      </c>
      <c r="Q253" s="57"/>
      <c r="R253" s="57">
        <f>+Q253+M253</f>
        <v>-7142081.4400000004</v>
      </c>
      <c r="S253" s="39">
        <f>+I253+R253</f>
        <v>7566127.1499999994</v>
      </c>
      <c r="T253" s="39">
        <f>+L253+R253</f>
        <v>5847431.7747321101</v>
      </c>
      <c r="U253" s="39">
        <f>+I253+M253</f>
        <v>7566127.1499999994</v>
      </c>
      <c r="V253" s="39">
        <f>+L253+M253</f>
        <v>5847431.7747321101</v>
      </c>
      <c r="W253" s="15">
        <f>SUM(W254:W257)</f>
        <v>597</v>
      </c>
      <c r="X253" s="15">
        <f t="shared" ref="X253:AA253" si="128">SUM(X254:X257)</f>
        <v>612</v>
      </c>
      <c r="Y253" s="15">
        <f t="shared" si="128"/>
        <v>634</v>
      </c>
      <c r="Z253" s="15">
        <f>SUM(Z254:Z257)</f>
        <v>650</v>
      </c>
      <c r="AA253" s="15">
        <f t="shared" si="128"/>
        <v>626</v>
      </c>
      <c r="AB253" s="19">
        <f>+(AA253-W253)/W253</f>
        <v>4.8576214405360134E-2</v>
      </c>
      <c r="AC253" s="33"/>
    </row>
    <row r="254" spans="1:29" s="11" customFormat="1" x14ac:dyDescent="0.15">
      <c r="A254" s="8" t="s">
        <v>62</v>
      </c>
      <c r="B254" s="8" t="s">
        <v>63</v>
      </c>
      <c r="C254" s="8" t="s">
        <v>103</v>
      </c>
      <c r="D254" s="8" t="s">
        <v>104</v>
      </c>
      <c r="E254" s="8" t="s">
        <v>46</v>
      </c>
      <c r="F254" s="8" t="s">
        <v>47</v>
      </c>
      <c r="G254" s="9">
        <v>19868.900000000001</v>
      </c>
      <c r="H254" s="43">
        <v>-20078.3</v>
      </c>
      <c r="I254" s="43">
        <v>-209.4</v>
      </c>
      <c r="J254" s="47"/>
      <c r="K254" s="47"/>
      <c r="L254" s="47"/>
      <c r="M254" s="58"/>
      <c r="N254" s="58"/>
      <c r="O254" s="58"/>
      <c r="P254" s="58"/>
      <c r="Q254" s="58"/>
      <c r="R254" s="58"/>
      <c r="S254" s="40"/>
      <c r="T254" s="40"/>
      <c r="U254" s="40"/>
      <c r="V254" s="40"/>
      <c r="W254" s="16">
        <v>17</v>
      </c>
      <c r="X254" s="16">
        <v>16</v>
      </c>
      <c r="Y254" s="16">
        <v>10</v>
      </c>
      <c r="Z254" s="16">
        <v>8</v>
      </c>
      <c r="AA254" s="16">
        <v>3</v>
      </c>
      <c r="AB254" s="30">
        <f>+(AA254-W254)/W254</f>
        <v>-0.82352941176470584</v>
      </c>
      <c r="AC254" s="33">
        <f>+AA254/AA253</f>
        <v>4.7923322683706068E-3</v>
      </c>
    </row>
    <row r="255" spans="1:29" s="11" customFormat="1" x14ac:dyDescent="0.15">
      <c r="A255" s="8" t="s">
        <v>62</v>
      </c>
      <c r="B255" s="8" t="s">
        <v>63</v>
      </c>
      <c r="C255" s="8" t="s">
        <v>101</v>
      </c>
      <c r="D255" s="8" t="s">
        <v>102</v>
      </c>
      <c r="E255" s="8" t="s">
        <v>46</v>
      </c>
      <c r="F255" s="8" t="s">
        <v>47</v>
      </c>
      <c r="G255" s="9">
        <v>308951.03000000003</v>
      </c>
      <c r="H255" s="43">
        <v>-259307.34</v>
      </c>
      <c r="I255" s="43">
        <v>49643.69</v>
      </c>
      <c r="J255" s="47"/>
      <c r="K255" s="47"/>
      <c r="L255" s="47"/>
      <c r="M255" s="58"/>
      <c r="N255" s="58"/>
      <c r="O255" s="58"/>
      <c r="P255" s="58"/>
      <c r="Q255" s="58"/>
      <c r="R255" s="58"/>
      <c r="S255" s="40"/>
      <c r="T255" s="40"/>
      <c r="U255" s="40"/>
      <c r="V255" s="40"/>
      <c r="W255" s="16">
        <v>35</v>
      </c>
      <c r="X255" s="16">
        <v>36</v>
      </c>
      <c r="Y255" s="16">
        <v>37</v>
      </c>
      <c r="Z255" s="16">
        <v>42</v>
      </c>
      <c r="AA255" s="16">
        <v>37</v>
      </c>
      <c r="AB255" s="21">
        <f t="shared" ref="AB255:AB257" si="129">+(AA255-W255)/W255</f>
        <v>5.7142857142857141E-2</v>
      </c>
      <c r="AC255" s="33">
        <f>+AA255/AA253</f>
        <v>5.9105431309904151E-2</v>
      </c>
    </row>
    <row r="256" spans="1:29" s="11" customFormat="1" x14ac:dyDescent="0.15">
      <c r="A256" s="8" t="s">
        <v>319</v>
      </c>
      <c r="B256" s="8" t="s">
        <v>59</v>
      </c>
      <c r="C256" s="8" t="s">
        <v>320</v>
      </c>
      <c r="D256" s="8" t="s">
        <v>320</v>
      </c>
      <c r="E256" s="8" t="s">
        <v>46</v>
      </c>
      <c r="F256" s="8" t="s">
        <v>47</v>
      </c>
      <c r="G256" s="9">
        <v>13390461.390000001</v>
      </c>
      <c r="H256" s="43">
        <v>-1025479.11</v>
      </c>
      <c r="I256" s="43">
        <v>12364982.279999999</v>
      </c>
      <c r="J256" s="47"/>
      <c r="K256" s="47"/>
      <c r="L256" s="47"/>
      <c r="M256" s="58"/>
      <c r="N256" s="58"/>
      <c r="O256" s="58"/>
      <c r="P256" s="58"/>
      <c r="Q256" s="58"/>
      <c r="R256" s="58"/>
      <c r="S256" s="40"/>
      <c r="T256" s="40"/>
      <c r="U256" s="40"/>
      <c r="V256" s="40"/>
      <c r="W256" s="16">
        <v>447</v>
      </c>
      <c r="X256" s="16">
        <v>458</v>
      </c>
      <c r="Y256" s="16">
        <v>481</v>
      </c>
      <c r="Z256" s="16">
        <v>498</v>
      </c>
      <c r="AA256" s="16">
        <v>487</v>
      </c>
      <c r="AB256" s="21">
        <f t="shared" si="129"/>
        <v>8.9485458612975396E-2</v>
      </c>
      <c r="AC256" s="33">
        <f>+AA256/AA253</f>
        <v>0.77795527156549515</v>
      </c>
    </row>
    <row r="257" spans="1:29" s="11" customFormat="1" x14ac:dyDescent="0.15">
      <c r="A257" s="8" t="s">
        <v>321</v>
      </c>
      <c r="B257" s="8" t="s">
        <v>322</v>
      </c>
      <c r="C257" s="8" t="s">
        <v>418</v>
      </c>
      <c r="D257" s="8" t="s">
        <v>419</v>
      </c>
      <c r="E257" s="8" t="s">
        <v>46</v>
      </c>
      <c r="F257" s="8" t="s">
        <v>47</v>
      </c>
      <c r="G257" s="9">
        <v>2655404.42</v>
      </c>
      <c r="H257" s="43">
        <v>-361612.4</v>
      </c>
      <c r="I257" s="43">
        <v>2293792.02</v>
      </c>
      <c r="J257" s="47"/>
      <c r="K257" s="47"/>
      <c r="L257" s="47"/>
      <c r="M257" s="58"/>
      <c r="N257" s="58"/>
      <c r="O257" s="58"/>
      <c r="P257" s="58"/>
      <c r="Q257" s="58"/>
      <c r="R257" s="58"/>
      <c r="S257" s="40"/>
      <c r="T257" s="40"/>
      <c r="U257" s="40"/>
      <c r="V257" s="40"/>
      <c r="W257" s="25">
        <v>98</v>
      </c>
      <c r="X257" s="25">
        <v>102</v>
      </c>
      <c r="Y257" s="16">
        <v>106</v>
      </c>
      <c r="Z257" s="16">
        <v>102</v>
      </c>
      <c r="AA257" s="16">
        <v>99</v>
      </c>
      <c r="AB257" s="21">
        <f t="shared" si="129"/>
        <v>1.020408163265306E-2</v>
      </c>
      <c r="AC257" s="33">
        <f>+AA257/AA253</f>
        <v>0.15814696485623003</v>
      </c>
    </row>
    <row r="258" spans="1:29" s="11" customFormat="1" x14ac:dyDescent="0.15">
      <c r="A258" s="5"/>
      <c r="B258" s="5" t="s">
        <v>0</v>
      </c>
      <c r="C258" s="5" t="s">
        <v>0</v>
      </c>
      <c r="D258" s="5" t="s">
        <v>0</v>
      </c>
      <c r="E258" s="5" t="s">
        <v>57</v>
      </c>
      <c r="F258" s="5" t="s">
        <v>57</v>
      </c>
      <c r="G258" s="6">
        <v>1168082.78</v>
      </c>
      <c r="H258" s="42">
        <v>-137839.7225</v>
      </c>
      <c r="I258" s="42">
        <v>1030243.0575</v>
      </c>
      <c r="J258" s="42">
        <v>197415.95</v>
      </c>
      <c r="K258" s="42">
        <v>-19936.855543623002</v>
      </c>
      <c r="L258" s="42">
        <f>+J258+K258</f>
        <v>177479.094456377</v>
      </c>
      <c r="M258" s="57">
        <f>-43850.77-188392.38</f>
        <v>-232243.15</v>
      </c>
      <c r="N258" s="57"/>
      <c r="O258" s="57">
        <v>-178875.71</v>
      </c>
      <c r="P258" s="57"/>
      <c r="Q258" s="57">
        <v>-44160.78</v>
      </c>
      <c r="R258" s="57">
        <f>+Q258+M258</f>
        <v>-276403.93</v>
      </c>
      <c r="S258" s="39">
        <f>+I258+R258</f>
        <v>753839.12749999994</v>
      </c>
      <c r="T258" s="39">
        <f>+L258+R258</f>
        <v>-98924.83554362299</v>
      </c>
      <c r="U258" s="39">
        <f>+I258+M258</f>
        <v>797999.90749999997</v>
      </c>
      <c r="V258" s="39">
        <f>+L258+M258</f>
        <v>-54764.055543622992</v>
      </c>
      <c r="W258" s="15">
        <f>+W259</f>
        <v>185</v>
      </c>
      <c r="X258" s="15">
        <f>+X259</f>
        <v>180</v>
      </c>
      <c r="Y258" s="17">
        <f t="shared" ref="Y258:AA258" si="130">+Y259</f>
        <v>162</v>
      </c>
      <c r="Z258" s="17">
        <f t="shared" si="130"/>
        <v>183</v>
      </c>
      <c r="AA258" s="17">
        <f t="shared" si="130"/>
        <v>133</v>
      </c>
      <c r="AB258" s="31">
        <f>+(AA258-W258)/W258</f>
        <v>-0.2810810810810811</v>
      </c>
      <c r="AC258" s="33"/>
    </row>
    <row r="259" spans="1:29" s="11" customFormat="1" x14ac:dyDescent="0.15">
      <c r="A259" s="8" t="s">
        <v>321</v>
      </c>
      <c r="B259" s="8" t="s">
        <v>322</v>
      </c>
      <c r="C259" s="8" t="s">
        <v>369</v>
      </c>
      <c r="D259" s="8" t="s">
        <v>370</v>
      </c>
      <c r="E259" s="8" t="s">
        <v>57</v>
      </c>
      <c r="F259" s="8" t="s">
        <v>57</v>
      </c>
      <c r="G259" s="9">
        <v>1168082.78</v>
      </c>
      <c r="H259" s="43">
        <v>-137839.7225</v>
      </c>
      <c r="I259" s="43">
        <v>1030243.0575</v>
      </c>
      <c r="J259" s="47"/>
      <c r="K259" s="47"/>
      <c r="L259" s="47"/>
      <c r="M259" s="60"/>
      <c r="N259" s="60"/>
      <c r="O259" s="60"/>
      <c r="P259" s="60"/>
      <c r="Q259" s="60"/>
      <c r="R259" s="60"/>
      <c r="S259" s="41"/>
      <c r="T259" s="40"/>
      <c r="U259" s="40"/>
      <c r="V259" s="40"/>
      <c r="W259" s="25">
        <v>185</v>
      </c>
      <c r="X259" s="25">
        <v>180</v>
      </c>
      <c r="Y259" s="16">
        <v>162</v>
      </c>
      <c r="Z259" s="16">
        <v>183</v>
      </c>
      <c r="AA259" s="16">
        <v>133</v>
      </c>
      <c r="AB259" s="10"/>
      <c r="AC259" s="33"/>
    </row>
    <row r="261" spans="1:29" x14ac:dyDescent="0.15">
      <c r="H261" s="12"/>
      <c r="I261" s="12"/>
      <c r="J261" s="45">
        <f>SUM(J3:J258)</f>
        <v>168152636.08999997</v>
      </c>
      <c r="K261" s="45">
        <f>SUM(K3:K258)</f>
        <v>-28919772.765234597</v>
      </c>
      <c r="L261" s="45">
        <f>SUM(L3:L258)</f>
        <v>139232863.32476538</v>
      </c>
      <c r="M261" s="12"/>
      <c r="N261" s="12"/>
      <c r="O261" s="12"/>
      <c r="P261" s="12"/>
      <c r="Q261" s="12"/>
      <c r="R261" s="12"/>
    </row>
  </sheetData>
  <sortState ref="A3:AD259">
    <sortCondition ref="F3:F259"/>
    <sortCondition ref="E3:E259"/>
    <sortCondition sortBy="cellColor" ref="A3:A259" dxfId="0"/>
    <sortCondition ref="A3:A259"/>
    <sortCondition ref="D3:D259"/>
  </sortState>
  <pageMargins left="0.75" right="0.75" top="1" bottom="1" header="0.5" footer="0.5"/>
  <pageSetup paperSize="9" orientation="portrait"/>
  <ignoredErrors>
    <ignoredError sqref="G143:I143 G106:I106 G186 H186:I18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A7" sqref="A7"/>
    </sheetView>
  </sheetViews>
  <sheetFormatPr baseColWidth="10" defaultColWidth="8.83203125" defaultRowHeight="13" x14ac:dyDescent="0.15"/>
  <cols>
    <col min="1" max="1" width="15.5" style="55" customWidth="1"/>
    <col min="2" max="2" width="68.83203125" style="52" customWidth="1"/>
    <col min="5" max="5" width="10.83203125" customWidth="1"/>
    <col min="6" max="6" width="36.6640625" customWidth="1"/>
  </cols>
  <sheetData>
    <row r="1" spans="1:5" ht="16" x14ac:dyDescent="0.2">
      <c r="A1" s="53" t="s">
        <v>486</v>
      </c>
      <c r="B1" s="54" t="s">
        <v>489</v>
      </c>
      <c r="C1" s="52"/>
      <c r="D1" s="52"/>
      <c r="E1" s="52"/>
    </row>
    <row r="2" spans="1:5" ht="98" x14ac:dyDescent="0.15">
      <c r="A2" s="55" t="s">
        <v>490</v>
      </c>
      <c r="B2" s="52" t="s">
        <v>492</v>
      </c>
      <c r="C2" s="52"/>
      <c r="D2" s="52"/>
      <c r="E2" s="52"/>
    </row>
    <row r="3" spans="1:5" ht="84" x14ac:dyDescent="0.15">
      <c r="A3" s="55" t="s">
        <v>491</v>
      </c>
      <c r="B3" s="52" t="s">
        <v>493</v>
      </c>
      <c r="C3" s="52"/>
      <c r="D3" s="52"/>
      <c r="E3" s="52"/>
    </row>
    <row r="4" spans="1:5" ht="84" x14ac:dyDescent="0.15">
      <c r="A4" s="55" t="s">
        <v>494</v>
      </c>
      <c r="B4" s="52" t="s">
        <v>495</v>
      </c>
      <c r="C4" s="52"/>
      <c r="D4" s="52"/>
      <c r="E4" s="5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61"/>
  <sheetViews>
    <sheetView tabSelected="1" workbookViewId="0">
      <pane xSplit="6" ySplit="1" topLeftCell="AD216" activePane="bottomRight" state="frozen"/>
      <selection pane="topRight" activeCell="G1" sqref="G1"/>
      <selection pane="bottomLeft" activeCell="A2" sqref="A2"/>
      <selection pane="bottomRight" activeCell="E1" sqref="E1:F1"/>
    </sheetView>
  </sheetViews>
  <sheetFormatPr baseColWidth="10" defaultColWidth="9.1640625" defaultRowHeight="14" x14ac:dyDescent="0.15"/>
  <cols>
    <col min="1" max="1" width="12.6640625" style="7" customWidth="1"/>
    <col min="2" max="2" width="13.83203125" style="7" customWidth="1"/>
    <col min="3" max="3" width="24.1640625" style="7" customWidth="1"/>
    <col min="4" max="4" width="13.5" style="7" customWidth="1"/>
    <col min="5" max="5" width="22.5" style="7" customWidth="1"/>
    <col min="6" max="6" width="30.1640625" style="7" customWidth="1"/>
    <col min="7" max="7" width="24.83203125" style="12" hidden="1" customWidth="1"/>
    <col min="8" max="8" width="13.6640625" style="45" hidden="1" customWidth="1"/>
    <col min="9" max="10" width="16.6640625" style="45" hidden="1" customWidth="1"/>
    <col min="11" max="11" width="19.6640625" style="45" hidden="1" customWidth="1"/>
    <col min="12" max="12" width="21.6640625" style="45" hidden="1" customWidth="1"/>
    <col min="13" max="18" width="15.6640625" style="45" hidden="1" customWidth="1"/>
    <col min="19" max="22" width="16.6640625" style="12" hidden="1" customWidth="1"/>
    <col min="23" max="27" width="10.6640625" style="7" hidden="1" customWidth="1"/>
    <col min="28" max="28" width="9.1640625" style="7" hidden="1" customWidth="1"/>
    <col min="29" max="29" width="18.5" style="33" hidden="1" customWidth="1"/>
    <col min="30" max="30" width="30.5" style="111" customWidth="1"/>
    <col min="31" max="31" width="45.5" style="111" customWidth="1"/>
    <col min="32" max="32" width="10.5" style="110" hidden="1" customWidth="1"/>
    <col min="33" max="33" width="30.5" style="111" customWidth="1"/>
    <col min="34" max="34" width="24.33203125" style="80" customWidth="1"/>
    <col min="35" max="16384" width="9.1640625" style="7"/>
  </cols>
  <sheetData>
    <row r="1" spans="1:34" s="3" customFormat="1" ht="80" x14ac:dyDescent="0.2">
      <c r="A1" s="84" t="s">
        <v>452</v>
      </c>
      <c r="B1" s="84" t="s">
        <v>457</v>
      </c>
      <c r="C1" s="85" t="s">
        <v>454</v>
      </c>
      <c r="D1" s="85" t="s">
        <v>453</v>
      </c>
      <c r="E1" s="85" t="s">
        <v>455</v>
      </c>
      <c r="F1" s="85" t="s">
        <v>456</v>
      </c>
      <c r="G1" s="86" t="s">
        <v>446</v>
      </c>
      <c r="H1" s="87" t="s">
        <v>447</v>
      </c>
      <c r="I1" s="87" t="s">
        <v>448</v>
      </c>
      <c r="J1" s="88" t="s">
        <v>449</v>
      </c>
      <c r="K1" s="88" t="s">
        <v>447</v>
      </c>
      <c r="L1" s="88" t="s">
        <v>450</v>
      </c>
      <c r="M1" s="89" t="s">
        <v>514</v>
      </c>
      <c r="N1" s="89" t="s">
        <v>511</v>
      </c>
      <c r="O1" s="89" t="s">
        <v>512</v>
      </c>
      <c r="P1" s="89" t="s">
        <v>504</v>
      </c>
      <c r="Q1" s="89" t="s">
        <v>505</v>
      </c>
      <c r="R1" s="89" t="s">
        <v>507</v>
      </c>
      <c r="S1" s="90" t="s">
        <v>464</v>
      </c>
      <c r="T1" s="90" t="s">
        <v>465</v>
      </c>
      <c r="U1" s="90" t="s">
        <v>464</v>
      </c>
      <c r="V1" s="90" t="s">
        <v>465</v>
      </c>
      <c r="W1" s="85" t="s">
        <v>458</v>
      </c>
      <c r="X1" s="85" t="s">
        <v>459</v>
      </c>
      <c r="Y1" s="85" t="s">
        <v>460</v>
      </c>
      <c r="Z1" s="85" t="s">
        <v>461</v>
      </c>
      <c r="AA1" s="85" t="s">
        <v>462</v>
      </c>
      <c r="AB1" s="91" t="s">
        <v>466</v>
      </c>
      <c r="AC1" s="34" t="s">
        <v>485</v>
      </c>
      <c r="AD1" s="105" t="s">
        <v>487</v>
      </c>
      <c r="AE1" s="105" t="s">
        <v>488</v>
      </c>
      <c r="AF1" s="106" t="s">
        <v>485</v>
      </c>
      <c r="AG1" s="105" t="s">
        <v>521</v>
      </c>
      <c r="AH1" s="92" t="s">
        <v>515</v>
      </c>
    </row>
    <row r="2" spans="1:34" s="11" customFormat="1" x14ac:dyDescent="0.15">
      <c r="A2" s="67"/>
      <c r="B2" s="67" t="s">
        <v>0</v>
      </c>
      <c r="C2" s="67" t="s">
        <v>0</v>
      </c>
      <c r="D2" s="67" t="s">
        <v>0</v>
      </c>
      <c r="E2" s="67" t="s">
        <v>1</v>
      </c>
      <c r="F2" s="67" t="s">
        <v>2</v>
      </c>
      <c r="G2" s="68">
        <v>3772072.69</v>
      </c>
      <c r="H2" s="69">
        <v>-671551.97499999998</v>
      </c>
      <c r="I2" s="69">
        <v>3100520.7149999999</v>
      </c>
      <c r="J2" s="69">
        <v>3063251.32</v>
      </c>
      <c r="K2" s="69">
        <v>-519650.48452856002</v>
      </c>
      <c r="L2" s="69">
        <f>+J2+K2</f>
        <v>2543600.8354714396</v>
      </c>
      <c r="M2" s="70">
        <f>-1345.62-1571549.42</f>
        <v>-1572895.04</v>
      </c>
      <c r="N2" s="70"/>
      <c r="O2" s="70"/>
      <c r="P2" s="70"/>
      <c r="Q2" s="70">
        <v>-115.99</v>
      </c>
      <c r="R2" s="70">
        <f>+Q2+M2</f>
        <v>-1573011.03</v>
      </c>
      <c r="S2" s="104">
        <f>+I2+R2</f>
        <v>1527509.6849999998</v>
      </c>
      <c r="T2" s="104">
        <f>+L2+R2</f>
        <v>970589.80547143961</v>
      </c>
      <c r="U2" s="104">
        <f>+I2+M2</f>
        <v>1527625.6749999998</v>
      </c>
      <c r="V2" s="104">
        <f>+L2+M2</f>
        <v>970705.7954714396</v>
      </c>
      <c r="W2" s="71">
        <f>SUM(W3:W4)</f>
        <v>443</v>
      </c>
      <c r="X2" s="71">
        <f t="shared" ref="X2:AA2" si="0">SUM(X3:X4)</f>
        <v>418</v>
      </c>
      <c r="Y2" s="71">
        <f t="shared" si="0"/>
        <v>426</v>
      </c>
      <c r="Z2" s="71">
        <f t="shared" si="0"/>
        <v>414</v>
      </c>
      <c r="AA2" s="71">
        <f t="shared" si="0"/>
        <v>451</v>
      </c>
      <c r="AB2" s="72">
        <f t="shared" ref="AB2:AB12" si="1">+(AA2-W2)/W2</f>
        <v>1.8058690744920992E-2</v>
      </c>
      <c r="AD2" s="107"/>
      <c r="AE2" s="107"/>
      <c r="AF2" s="108"/>
      <c r="AG2" s="107"/>
      <c r="AH2" s="81">
        <v>1</v>
      </c>
    </row>
    <row r="3" spans="1:34" x14ac:dyDescent="0.15">
      <c r="A3" s="73" t="s">
        <v>62</v>
      </c>
      <c r="B3" s="73" t="s">
        <v>195</v>
      </c>
      <c r="C3" s="73" t="s">
        <v>196</v>
      </c>
      <c r="D3" s="73" t="s">
        <v>197</v>
      </c>
      <c r="E3" s="73" t="s">
        <v>1</v>
      </c>
      <c r="F3" s="73" t="s">
        <v>2</v>
      </c>
      <c r="G3" s="74">
        <v>629616.9</v>
      </c>
      <c r="H3" s="75">
        <v>-85045.14</v>
      </c>
      <c r="I3" s="75">
        <v>544571.76</v>
      </c>
      <c r="J3" s="76"/>
      <c r="K3" s="76"/>
      <c r="L3" s="76"/>
      <c r="M3" s="77"/>
      <c r="N3" s="77"/>
      <c r="O3" s="77"/>
      <c r="P3" s="77"/>
      <c r="Q3" s="77"/>
      <c r="R3" s="77"/>
      <c r="S3" s="78"/>
      <c r="T3" s="78"/>
      <c r="U3" s="78"/>
      <c r="V3" s="78"/>
      <c r="W3" s="25">
        <v>139</v>
      </c>
      <c r="X3" s="25">
        <v>122</v>
      </c>
      <c r="Y3" s="25">
        <v>83</v>
      </c>
      <c r="Z3" s="32">
        <v>61</v>
      </c>
      <c r="AA3" s="32">
        <v>85</v>
      </c>
      <c r="AB3" s="21">
        <f t="shared" si="1"/>
        <v>-0.38848920863309355</v>
      </c>
      <c r="AC3" s="33">
        <f>+AA3/AA2</f>
        <v>0.18847006651884701</v>
      </c>
      <c r="AD3" s="109"/>
      <c r="AE3" s="109"/>
      <c r="AG3" s="109"/>
      <c r="AH3" s="82">
        <v>1</v>
      </c>
    </row>
    <row r="4" spans="1:34" x14ac:dyDescent="0.15">
      <c r="A4" s="73" t="s">
        <v>321</v>
      </c>
      <c r="B4" s="73" t="s">
        <v>322</v>
      </c>
      <c r="C4" s="73" t="s">
        <v>323</v>
      </c>
      <c r="D4" s="73" t="s">
        <v>324</v>
      </c>
      <c r="E4" s="73" t="s">
        <v>1</v>
      </c>
      <c r="F4" s="73" t="s">
        <v>2</v>
      </c>
      <c r="G4" s="74">
        <v>3142455.79</v>
      </c>
      <c r="H4" s="75">
        <v>-586506.83499999996</v>
      </c>
      <c r="I4" s="75">
        <v>2555948.9550000001</v>
      </c>
      <c r="J4" s="76"/>
      <c r="K4" s="76"/>
      <c r="L4" s="76"/>
      <c r="M4" s="77"/>
      <c r="N4" s="77"/>
      <c r="O4" s="77"/>
      <c r="P4" s="77"/>
      <c r="Q4" s="77"/>
      <c r="R4" s="77"/>
      <c r="S4" s="78"/>
      <c r="T4" s="78"/>
      <c r="U4" s="78"/>
      <c r="V4" s="78"/>
      <c r="W4" s="25">
        <v>304</v>
      </c>
      <c r="X4" s="25">
        <v>296</v>
      </c>
      <c r="Y4" s="32">
        <v>343</v>
      </c>
      <c r="Z4" s="32">
        <v>353</v>
      </c>
      <c r="AA4" s="32">
        <v>366</v>
      </c>
      <c r="AB4" s="21">
        <f t="shared" si="1"/>
        <v>0.20394736842105263</v>
      </c>
      <c r="AC4" s="33">
        <f>+AA4/AA2</f>
        <v>0.81152993348115299</v>
      </c>
      <c r="AD4" s="109"/>
      <c r="AE4" s="109"/>
      <c r="AF4" s="110">
        <f>+AB4/AB2</f>
        <v>11.293585526315789</v>
      </c>
      <c r="AG4" s="109"/>
      <c r="AH4" s="82">
        <v>1</v>
      </c>
    </row>
    <row r="5" spans="1:34" s="11" customFormat="1" x14ac:dyDescent="0.15">
      <c r="A5" s="67"/>
      <c r="B5" s="67" t="s">
        <v>0</v>
      </c>
      <c r="C5" s="67" t="s">
        <v>0</v>
      </c>
      <c r="D5" s="67" t="s">
        <v>0</v>
      </c>
      <c r="E5" s="67" t="s">
        <v>12</v>
      </c>
      <c r="F5" s="67" t="s">
        <v>2</v>
      </c>
      <c r="G5" s="68">
        <v>13535934.470000001</v>
      </c>
      <c r="H5" s="69">
        <v>-2368617.5099999998</v>
      </c>
      <c r="I5" s="69">
        <v>11167316.960000001</v>
      </c>
      <c r="J5" s="69">
        <f>8048409.13+110085</f>
        <v>8158494.1299999999</v>
      </c>
      <c r="K5" s="69">
        <v>-1205890.9360309199</v>
      </c>
      <c r="L5" s="69">
        <f>+J5+K5</f>
        <v>6952603.1939690802</v>
      </c>
      <c r="M5" s="70">
        <f>-89043.93-25454.88-1227960.34-10741.31-566868.03-237574.65-2018.43-71957.71-747692.25-20225.24-877238.57-31649.11</f>
        <v>-3908424.45</v>
      </c>
      <c r="N5" s="70"/>
      <c r="O5" s="70"/>
      <c r="P5" s="70"/>
      <c r="Q5" s="70">
        <f>-97.95-147024.61-158383.04-21371.85</f>
        <v>-326877.44999999995</v>
      </c>
      <c r="R5" s="70">
        <f>+Q5+M5</f>
        <v>-4235301.9000000004</v>
      </c>
      <c r="S5" s="104">
        <f>+I5+R5</f>
        <v>6932015.0600000005</v>
      </c>
      <c r="T5" s="104">
        <f>+L5+R5</f>
        <v>2717301.2939690799</v>
      </c>
      <c r="U5" s="104">
        <f>+I5+M5</f>
        <v>7258892.5100000007</v>
      </c>
      <c r="V5" s="104">
        <f>+L5+M5</f>
        <v>3044178.74396908</v>
      </c>
      <c r="W5" s="71">
        <f>SUM(W6:W7)</f>
        <v>1533</v>
      </c>
      <c r="X5" s="71">
        <f t="shared" ref="X5:AA5" si="2">SUM(X6:X7)</f>
        <v>1550</v>
      </c>
      <c r="Y5" s="71">
        <f t="shared" si="2"/>
        <v>1505</v>
      </c>
      <c r="Z5" s="71">
        <f t="shared" si="2"/>
        <v>1542</v>
      </c>
      <c r="AA5" s="71">
        <f t="shared" si="2"/>
        <v>1664</v>
      </c>
      <c r="AB5" s="72">
        <f t="shared" si="1"/>
        <v>8.5453359425962161E-2</v>
      </c>
      <c r="AD5" s="107"/>
      <c r="AE5" s="107"/>
      <c r="AF5" s="108"/>
      <c r="AG5" s="107"/>
      <c r="AH5" s="81">
        <v>1</v>
      </c>
    </row>
    <row r="6" spans="1:34" x14ac:dyDescent="0.15">
      <c r="A6" s="73" t="s">
        <v>62</v>
      </c>
      <c r="B6" s="73" t="s">
        <v>195</v>
      </c>
      <c r="C6" s="73" t="s">
        <v>206</v>
      </c>
      <c r="D6" s="73" t="s">
        <v>207</v>
      </c>
      <c r="E6" s="73" t="s">
        <v>12</v>
      </c>
      <c r="F6" s="73" t="s">
        <v>2</v>
      </c>
      <c r="G6" s="74">
        <v>4267965.5599999996</v>
      </c>
      <c r="H6" s="75">
        <v>-370280.59</v>
      </c>
      <c r="I6" s="75">
        <v>3897684.97</v>
      </c>
      <c r="J6" s="76"/>
      <c r="K6" s="76"/>
      <c r="L6" s="76"/>
      <c r="M6" s="77"/>
      <c r="N6" s="77"/>
      <c r="O6" s="77"/>
      <c r="P6" s="77"/>
      <c r="Q6" s="77"/>
      <c r="R6" s="77"/>
      <c r="S6" s="78"/>
      <c r="T6" s="78"/>
      <c r="U6" s="78"/>
      <c r="V6" s="78"/>
      <c r="W6" s="25">
        <v>316</v>
      </c>
      <c r="X6" s="25">
        <v>335</v>
      </c>
      <c r="Y6" s="25">
        <v>308</v>
      </c>
      <c r="Z6" s="32">
        <v>458</v>
      </c>
      <c r="AA6" s="32">
        <v>603</v>
      </c>
      <c r="AB6" s="21">
        <f t="shared" si="1"/>
        <v>0.90822784810126578</v>
      </c>
      <c r="AC6" s="33">
        <f>+AA6/AA5</f>
        <v>0.36237980769230771</v>
      </c>
      <c r="AD6" s="109"/>
      <c r="AE6" s="107"/>
      <c r="AF6" s="110">
        <f>+AB6/AB5</f>
        <v>10.628345733887333</v>
      </c>
      <c r="AG6" s="109"/>
      <c r="AH6" s="82">
        <v>1</v>
      </c>
    </row>
    <row r="7" spans="1:34" x14ac:dyDescent="0.15">
      <c r="A7" s="73" t="s">
        <v>321</v>
      </c>
      <c r="B7" s="73" t="s">
        <v>322</v>
      </c>
      <c r="C7" s="73" t="s">
        <v>333</v>
      </c>
      <c r="D7" s="73" t="s">
        <v>334</v>
      </c>
      <c r="E7" s="73" t="s">
        <v>12</v>
      </c>
      <c r="F7" s="73" t="s">
        <v>2</v>
      </c>
      <c r="G7" s="74">
        <v>9267968.9100000001</v>
      </c>
      <c r="H7" s="75">
        <v>-1998336.92</v>
      </c>
      <c r="I7" s="75">
        <v>7269631.9900000002</v>
      </c>
      <c r="J7" s="76"/>
      <c r="K7" s="76"/>
      <c r="L7" s="76"/>
      <c r="M7" s="77"/>
      <c r="N7" s="77"/>
      <c r="O7" s="77"/>
      <c r="P7" s="77"/>
      <c r="Q7" s="77"/>
      <c r="R7" s="77"/>
      <c r="S7" s="78"/>
      <c r="T7" s="78"/>
      <c r="U7" s="78"/>
      <c r="V7" s="78"/>
      <c r="W7" s="25">
        <v>1217</v>
      </c>
      <c r="X7" s="25">
        <v>1215</v>
      </c>
      <c r="Y7" s="32">
        <v>1197</v>
      </c>
      <c r="Z7" s="32">
        <v>1084</v>
      </c>
      <c r="AA7" s="32">
        <v>1061</v>
      </c>
      <c r="AB7" s="21">
        <f t="shared" si="1"/>
        <v>-0.12818405916187345</v>
      </c>
      <c r="AC7" s="33">
        <f>+AA7/AA5</f>
        <v>0.63762019230769229</v>
      </c>
      <c r="AD7" s="109"/>
      <c r="AE7" s="109"/>
      <c r="AF7" s="110">
        <f>+AB7/AB5</f>
        <v>-1.5000470434744428</v>
      </c>
      <c r="AG7" s="109"/>
      <c r="AH7" s="82">
        <v>1</v>
      </c>
    </row>
    <row r="8" spans="1:34" s="11" customFormat="1" x14ac:dyDescent="0.15">
      <c r="A8" s="67"/>
      <c r="B8" s="67" t="s">
        <v>0</v>
      </c>
      <c r="C8" s="67" t="s">
        <v>0</v>
      </c>
      <c r="D8" s="67" t="s">
        <v>0</v>
      </c>
      <c r="E8" s="67" t="s">
        <v>18</v>
      </c>
      <c r="F8" s="67" t="s">
        <v>2</v>
      </c>
      <c r="G8" s="68">
        <v>591541.64</v>
      </c>
      <c r="H8" s="69">
        <v>-133922.9</v>
      </c>
      <c r="I8" s="69">
        <v>457618.74</v>
      </c>
      <c r="J8" s="69">
        <v>1071226.46</v>
      </c>
      <c r="K8" s="69">
        <v>-190355.50649008801</v>
      </c>
      <c r="L8" s="69">
        <f>+J8+K8</f>
        <v>880870.95350991189</v>
      </c>
      <c r="M8" s="70">
        <f>-33189.85-14227.64-276008.41-14238.68-15914.17-456827.55-3043.5</f>
        <v>-813449.79999999993</v>
      </c>
      <c r="N8" s="70"/>
      <c r="O8" s="70"/>
      <c r="P8" s="70">
        <v>-27768.7</v>
      </c>
      <c r="Q8" s="70">
        <v>-143812.29</v>
      </c>
      <c r="R8" s="70">
        <f>+Q8+M8</f>
        <v>-957262.09</v>
      </c>
      <c r="S8" s="104">
        <f>+I8+R8</f>
        <v>-499643.35</v>
      </c>
      <c r="T8" s="104">
        <f>+L8+R8</f>
        <v>-76391.136490088073</v>
      </c>
      <c r="U8" s="104">
        <f>+I8+M8</f>
        <v>-355831.05999999994</v>
      </c>
      <c r="V8" s="104">
        <f>+L8+M8</f>
        <v>67421.153509911965</v>
      </c>
      <c r="W8" s="71">
        <f>SUM(W9:W11)</f>
        <v>144</v>
      </c>
      <c r="X8" s="71">
        <f t="shared" ref="X8:AA8" si="3">SUM(X9:X11)</f>
        <v>127</v>
      </c>
      <c r="Y8" s="71">
        <f t="shared" si="3"/>
        <v>113</v>
      </c>
      <c r="Z8" s="71">
        <f t="shared" si="3"/>
        <v>104</v>
      </c>
      <c r="AA8" s="71">
        <f t="shared" si="3"/>
        <v>104</v>
      </c>
      <c r="AB8" s="72">
        <f t="shared" si="1"/>
        <v>-0.27777777777777779</v>
      </c>
      <c r="AD8" s="107" t="s">
        <v>517</v>
      </c>
      <c r="AE8" s="107"/>
      <c r="AF8" s="108"/>
      <c r="AG8" s="107"/>
      <c r="AH8" s="81">
        <v>1</v>
      </c>
    </row>
    <row r="9" spans="1:34" x14ac:dyDescent="0.15">
      <c r="A9" s="73" t="s">
        <v>62</v>
      </c>
      <c r="B9" s="73" t="s">
        <v>63</v>
      </c>
      <c r="C9" s="73" t="s">
        <v>109</v>
      </c>
      <c r="D9" s="73" t="s">
        <v>110</v>
      </c>
      <c r="E9" s="73" t="s">
        <v>18</v>
      </c>
      <c r="F9" s="73" t="s">
        <v>2</v>
      </c>
      <c r="G9" s="74">
        <v>34829.300000000003</v>
      </c>
      <c r="H9" s="75">
        <v>-13206.9</v>
      </c>
      <c r="I9" s="75">
        <v>21622.400000000001</v>
      </c>
      <c r="J9" s="76"/>
      <c r="K9" s="76"/>
      <c r="L9" s="76"/>
      <c r="M9" s="77"/>
      <c r="N9" s="77"/>
      <c r="O9" s="77"/>
      <c r="P9" s="77"/>
      <c r="Q9" s="77"/>
      <c r="R9" s="77"/>
      <c r="S9" s="78"/>
      <c r="T9" s="78"/>
      <c r="U9" s="78"/>
      <c r="V9" s="78"/>
      <c r="W9" s="32">
        <v>2</v>
      </c>
      <c r="X9" s="32">
        <v>2</v>
      </c>
      <c r="Y9" s="32">
        <v>5</v>
      </c>
      <c r="Z9" s="32">
        <v>5</v>
      </c>
      <c r="AA9" s="32">
        <v>4</v>
      </c>
      <c r="AB9" s="21">
        <f t="shared" si="1"/>
        <v>1</v>
      </c>
      <c r="AC9" s="33">
        <f>+AA9/AA8</f>
        <v>3.8461538461538464E-2</v>
      </c>
      <c r="AD9" s="109"/>
      <c r="AE9" s="109"/>
      <c r="AF9" s="110">
        <f>+AB9/AB8</f>
        <v>-3.5999999999999996</v>
      </c>
      <c r="AH9" s="82">
        <v>1</v>
      </c>
    </row>
    <row r="10" spans="1:34" x14ac:dyDescent="0.15">
      <c r="A10" s="73" t="s">
        <v>62</v>
      </c>
      <c r="B10" s="73" t="s">
        <v>148</v>
      </c>
      <c r="C10" s="73" t="s">
        <v>180</v>
      </c>
      <c r="D10" s="73" t="s">
        <v>181</v>
      </c>
      <c r="E10" s="73" t="s">
        <v>18</v>
      </c>
      <c r="F10" s="73" t="s">
        <v>2</v>
      </c>
      <c r="G10" s="74">
        <v>10016.299999999999</v>
      </c>
      <c r="H10" s="75"/>
      <c r="I10" s="75">
        <v>10016.299999999999</v>
      </c>
      <c r="J10" s="76"/>
      <c r="K10" s="76"/>
      <c r="L10" s="76"/>
      <c r="M10" s="77"/>
      <c r="N10" s="77"/>
      <c r="O10" s="77"/>
      <c r="P10" s="77"/>
      <c r="Q10" s="77"/>
      <c r="R10" s="77"/>
      <c r="S10" s="78"/>
      <c r="T10" s="78"/>
      <c r="U10" s="78"/>
      <c r="V10" s="78"/>
      <c r="W10" s="32">
        <v>8</v>
      </c>
      <c r="X10" s="32">
        <v>7</v>
      </c>
      <c r="Y10" s="32">
        <v>4</v>
      </c>
      <c r="Z10" s="32">
        <v>2</v>
      </c>
      <c r="AA10" s="32">
        <v>5</v>
      </c>
      <c r="AB10" s="21">
        <f t="shared" si="1"/>
        <v>-0.375</v>
      </c>
      <c r="AC10" s="33">
        <f>+AA10/AA8</f>
        <v>4.807692307692308E-2</v>
      </c>
      <c r="AD10" s="109"/>
      <c r="AE10" s="109"/>
      <c r="AF10" s="110">
        <f>+AB10/AB8</f>
        <v>1.3499999999999999</v>
      </c>
      <c r="AG10" s="109"/>
      <c r="AH10" s="82">
        <v>1</v>
      </c>
    </row>
    <row r="11" spans="1:34" x14ac:dyDescent="0.15">
      <c r="A11" s="73" t="s">
        <v>62</v>
      </c>
      <c r="B11" s="73" t="s">
        <v>195</v>
      </c>
      <c r="C11" s="73" t="s">
        <v>289</v>
      </c>
      <c r="D11" s="73" t="s">
        <v>290</v>
      </c>
      <c r="E11" s="73" t="s">
        <v>18</v>
      </c>
      <c r="F11" s="73" t="s">
        <v>2</v>
      </c>
      <c r="G11" s="74">
        <v>546696.04</v>
      </c>
      <c r="H11" s="75">
        <v>-120716</v>
      </c>
      <c r="I11" s="75">
        <v>425980.04</v>
      </c>
      <c r="J11" s="76"/>
      <c r="K11" s="76"/>
      <c r="L11" s="76"/>
      <c r="M11" s="77"/>
      <c r="N11" s="77"/>
      <c r="O11" s="77"/>
      <c r="P11" s="77"/>
      <c r="Q11" s="77"/>
      <c r="R11" s="77"/>
      <c r="S11" s="78"/>
      <c r="T11" s="78"/>
      <c r="U11" s="78"/>
      <c r="V11" s="78"/>
      <c r="W11" s="25">
        <v>134</v>
      </c>
      <c r="X11" s="25">
        <v>118</v>
      </c>
      <c r="Y11" s="25">
        <v>104</v>
      </c>
      <c r="Z11" s="32">
        <v>97</v>
      </c>
      <c r="AA11" s="32">
        <v>95</v>
      </c>
      <c r="AB11" s="21">
        <f t="shared" si="1"/>
        <v>-0.29104477611940299</v>
      </c>
      <c r="AC11" s="33">
        <f>+AA11/AA8</f>
        <v>0.91346153846153844</v>
      </c>
      <c r="AD11" s="109"/>
      <c r="AE11" s="109"/>
      <c r="AG11" s="109"/>
      <c r="AH11" s="82">
        <v>1</v>
      </c>
    </row>
    <row r="12" spans="1:34" s="11" customFormat="1" x14ac:dyDescent="0.15">
      <c r="A12" s="67"/>
      <c r="B12" s="67" t="s">
        <v>0</v>
      </c>
      <c r="C12" s="67" t="s">
        <v>0</v>
      </c>
      <c r="D12" s="67" t="s">
        <v>0</v>
      </c>
      <c r="E12" s="67" t="s">
        <v>30</v>
      </c>
      <c r="F12" s="67" t="s">
        <v>2</v>
      </c>
      <c r="G12" s="68">
        <v>458631.01</v>
      </c>
      <c r="H12" s="69">
        <v>-102556.45</v>
      </c>
      <c r="I12" s="69">
        <v>356074.56</v>
      </c>
      <c r="J12" s="69">
        <v>2160083.0299999998</v>
      </c>
      <c r="K12" s="69">
        <v>-349384.321377824</v>
      </c>
      <c r="L12" s="69">
        <f>+J12+K12</f>
        <v>1810698.7086221757</v>
      </c>
      <c r="M12" s="70">
        <f>-8094.87-480419.38</f>
        <v>-488514.25</v>
      </c>
      <c r="N12" s="70"/>
      <c r="O12" s="70"/>
      <c r="P12" s="70"/>
      <c r="Q12" s="70">
        <v>-173.25</v>
      </c>
      <c r="R12" s="70">
        <f>+Q12+M12</f>
        <v>-488687.5</v>
      </c>
      <c r="S12" s="104">
        <f>+I12+R12</f>
        <v>-132612.94</v>
      </c>
      <c r="T12" s="104">
        <f>+L12+R12</f>
        <v>1322011.2086221757</v>
      </c>
      <c r="U12" s="104">
        <f>+I12+M12</f>
        <v>-132439.69</v>
      </c>
      <c r="V12" s="104">
        <f>+L12+M12</f>
        <v>1322184.4586221757</v>
      </c>
      <c r="W12" s="71">
        <f>+W13</f>
        <v>59</v>
      </c>
      <c r="X12" s="71">
        <f t="shared" ref="X12:AA12" si="4">+X13</f>
        <v>48</v>
      </c>
      <c r="Y12" s="71">
        <f t="shared" si="4"/>
        <v>53</v>
      </c>
      <c r="Z12" s="71">
        <f t="shared" si="4"/>
        <v>55</v>
      </c>
      <c r="AA12" s="71">
        <f t="shared" si="4"/>
        <v>63</v>
      </c>
      <c r="AB12" s="72">
        <f t="shared" si="1"/>
        <v>6.7796610169491525E-2</v>
      </c>
      <c r="AD12" s="107"/>
      <c r="AE12" s="107"/>
      <c r="AF12" s="108"/>
      <c r="AG12" s="107"/>
      <c r="AH12" s="81">
        <v>1</v>
      </c>
    </row>
    <row r="13" spans="1:34" x14ac:dyDescent="0.15">
      <c r="A13" s="73" t="s">
        <v>62</v>
      </c>
      <c r="B13" s="73" t="s">
        <v>195</v>
      </c>
      <c r="C13" s="73" t="s">
        <v>246</v>
      </c>
      <c r="D13" s="73" t="s">
        <v>247</v>
      </c>
      <c r="E13" s="73" t="s">
        <v>30</v>
      </c>
      <c r="F13" s="73" t="s">
        <v>2</v>
      </c>
      <c r="G13" s="74">
        <v>458631.01</v>
      </c>
      <c r="H13" s="75">
        <v>-102556.45</v>
      </c>
      <c r="I13" s="75">
        <v>356074.56</v>
      </c>
      <c r="J13" s="76"/>
      <c r="K13" s="76"/>
      <c r="L13" s="76"/>
      <c r="M13" s="77"/>
      <c r="N13" s="77"/>
      <c r="O13" s="77"/>
      <c r="P13" s="77"/>
      <c r="Q13" s="77"/>
      <c r="R13" s="77"/>
      <c r="S13" s="78"/>
      <c r="T13" s="78"/>
      <c r="U13" s="78"/>
      <c r="V13" s="78"/>
      <c r="W13" s="25">
        <v>59</v>
      </c>
      <c r="X13" s="25">
        <v>48</v>
      </c>
      <c r="Y13" s="25">
        <v>53</v>
      </c>
      <c r="Z13" s="32">
        <v>55</v>
      </c>
      <c r="AA13" s="32">
        <v>63</v>
      </c>
      <c r="AB13" s="21"/>
      <c r="AD13" s="109"/>
      <c r="AE13" s="109"/>
      <c r="AF13" s="110">
        <f>+AB13/AB10</f>
        <v>0</v>
      </c>
      <c r="AG13" s="109"/>
      <c r="AH13" s="82">
        <v>1</v>
      </c>
    </row>
    <row r="14" spans="1:34" s="11" customFormat="1" ht="55.5" customHeight="1" x14ac:dyDescent="0.15">
      <c r="A14" s="67"/>
      <c r="B14" s="67" t="s">
        <v>0</v>
      </c>
      <c r="C14" s="67" t="s">
        <v>0</v>
      </c>
      <c r="D14" s="67" t="s">
        <v>0</v>
      </c>
      <c r="E14" s="79" t="s">
        <v>506</v>
      </c>
      <c r="F14" s="67" t="s">
        <v>2</v>
      </c>
      <c r="G14" s="68">
        <f>SUM(G15:G17)</f>
        <v>213564.49000000002</v>
      </c>
      <c r="H14" s="69">
        <f t="shared" ref="H14:I14" si="5">SUM(H15:H17)</f>
        <v>-44862.3</v>
      </c>
      <c r="I14" s="68">
        <f t="shared" si="5"/>
        <v>168702.19</v>
      </c>
      <c r="J14" s="69">
        <f>2105939.005+253537</f>
        <v>2359476.0049999999</v>
      </c>
      <c r="K14" s="69">
        <f>-364909.95928997-38804</f>
        <v>-403713.95928996999</v>
      </c>
      <c r="L14" s="69">
        <f>+J14+K14</f>
        <v>1955762.04571003</v>
      </c>
      <c r="M14" s="70">
        <f>-1345.62-1359516.5-8870.89</f>
        <v>-1369733.01</v>
      </c>
      <c r="N14" s="70"/>
      <c r="O14" s="70"/>
      <c r="P14" s="70"/>
      <c r="Q14" s="70">
        <f>-3226.4-170374.36</f>
        <v>-173600.75999999998</v>
      </c>
      <c r="R14" s="70">
        <f>+Q14+M14</f>
        <v>-1543333.77</v>
      </c>
      <c r="S14" s="104">
        <f>+I14+R14</f>
        <v>-1374631.58</v>
      </c>
      <c r="T14" s="104">
        <f>+L14+R14</f>
        <v>412428.27571002999</v>
      </c>
      <c r="U14" s="104">
        <f>+I14+M14</f>
        <v>-1201030.82</v>
      </c>
      <c r="V14" s="104">
        <f>+L14+M14</f>
        <v>586029.03571003</v>
      </c>
      <c r="W14" s="71">
        <f>SUM(W15:W17)</f>
        <v>32</v>
      </c>
      <c r="X14" s="71">
        <f t="shared" ref="X14:AA14" si="6">SUM(X15:X17)</f>
        <v>26</v>
      </c>
      <c r="Y14" s="71">
        <f t="shared" si="6"/>
        <v>34</v>
      </c>
      <c r="Z14" s="71">
        <f t="shared" si="6"/>
        <v>34</v>
      </c>
      <c r="AA14" s="71">
        <f t="shared" si="6"/>
        <v>35</v>
      </c>
      <c r="AB14" s="72">
        <f>+(AA14-W14)/W14</f>
        <v>9.375E-2</v>
      </c>
      <c r="AD14" s="107"/>
      <c r="AE14" s="107"/>
      <c r="AF14" s="108"/>
      <c r="AG14" s="112"/>
      <c r="AH14" s="81">
        <v>1</v>
      </c>
    </row>
    <row r="15" spans="1:34" x14ac:dyDescent="0.15">
      <c r="A15" s="73" t="s">
        <v>62</v>
      </c>
      <c r="B15" s="73" t="s">
        <v>117</v>
      </c>
      <c r="C15" s="73" t="s">
        <v>125</v>
      </c>
      <c r="D15" s="73" t="s">
        <v>126</v>
      </c>
      <c r="E15" s="73" t="s">
        <v>32</v>
      </c>
      <c r="F15" s="73" t="s">
        <v>2</v>
      </c>
      <c r="G15" s="74">
        <v>35808.1</v>
      </c>
      <c r="H15" s="75">
        <v>-18238.099999999999</v>
      </c>
      <c r="I15" s="75">
        <v>17570</v>
      </c>
      <c r="J15" s="76"/>
      <c r="K15" s="76"/>
      <c r="L15" s="76"/>
      <c r="M15" s="77"/>
      <c r="N15" s="77"/>
      <c r="O15" s="77"/>
      <c r="P15" s="77"/>
      <c r="Q15" s="77"/>
      <c r="R15" s="77"/>
      <c r="S15" s="78"/>
      <c r="T15" s="78"/>
      <c r="U15" s="78"/>
      <c r="V15" s="78"/>
      <c r="W15" s="25">
        <v>9</v>
      </c>
      <c r="X15" s="25">
        <v>9</v>
      </c>
      <c r="Y15" s="25">
        <v>10</v>
      </c>
      <c r="Z15" s="32">
        <v>8</v>
      </c>
      <c r="AA15" s="32">
        <v>6</v>
      </c>
      <c r="AB15" s="21">
        <f>+(AA15-W15)/W15</f>
        <v>-0.33333333333333331</v>
      </c>
      <c r="AC15" s="33">
        <f>+AA15/AA14</f>
        <v>0.17142857142857143</v>
      </c>
      <c r="AD15" s="109"/>
      <c r="AE15" s="109"/>
      <c r="AG15" s="109"/>
      <c r="AH15" s="82">
        <v>3</v>
      </c>
    </row>
    <row r="16" spans="1:34" x14ac:dyDescent="0.15">
      <c r="A16" s="73" t="s">
        <v>62</v>
      </c>
      <c r="B16" s="73" t="s">
        <v>195</v>
      </c>
      <c r="C16" s="73" t="s">
        <v>239</v>
      </c>
      <c r="D16" s="73" t="s">
        <v>240</v>
      </c>
      <c r="E16" s="73" t="s">
        <v>241</v>
      </c>
      <c r="F16" s="73" t="s">
        <v>2</v>
      </c>
      <c r="G16" s="74">
        <v>3012</v>
      </c>
      <c r="H16" s="75"/>
      <c r="I16" s="75">
        <v>3012</v>
      </c>
      <c r="J16" s="76"/>
      <c r="K16" s="76"/>
      <c r="L16" s="76"/>
      <c r="M16" s="77"/>
      <c r="N16" s="77"/>
      <c r="O16" s="77"/>
      <c r="P16" s="77"/>
      <c r="Q16" s="77"/>
      <c r="R16" s="77"/>
      <c r="S16" s="78"/>
      <c r="T16" s="78"/>
      <c r="U16" s="78"/>
      <c r="V16" s="78"/>
      <c r="W16" s="25">
        <v>23</v>
      </c>
      <c r="X16" s="25">
        <v>17</v>
      </c>
      <c r="Y16" s="25">
        <v>14</v>
      </c>
      <c r="Z16" s="32">
        <v>0</v>
      </c>
      <c r="AA16" s="32">
        <v>1</v>
      </c>
      <c r="AB16" s="21">
        <f>+(AA16-W16)/W16</f>
        <v>-0.95652173913043481</v>
      </c>
      <c r="AC16" s="33">
        <f>+AA16/AA14</f>
        <v>2.8571428571428571E-2</v>
      </c>
      <c r="AD16" s="109"/>
      <c r="AE16" s="109"/>
      <c r="AF16" s="110">
        <f>+AB16/AB14</f>
        <v>-10.202898550724639</v>
      </c>
      <c r="AG16" s="109" t="s">
        <v>523</v>
      </c>
      <c r="AH16" s="82">
        <v>2</v>
      </c>
    </row>
    <row r="17" spans="1:34" x14ac:dyDescent="0.15">
      <c r="A17" s="73" t="s">
        <v>62</v>
      </c>
      <c r="B17" s="73" t="s">
        <v>195</v>
      </c>
      <c r="C17" s="73" t="s">
        <v>242</v>
      </c>
      <c r="D17" s="73" t="s">
        <v>243</v>
      </c>
      <c r="E17" s="73" t="s">
        <v>241</v>
      </c>
      <c r="F17" s="73" t="s">
        <v>2</v>
      </c>
      <c r="G17" s="74">
        <v>174744.39</v>
      </c>
      <c r="H17" s="75">
        <v>-26624.2</v>
      </c>
      <c r="I17" s="75">
        <v>148120.19</v>
      </c>
      <c r="J17" s="76"/>
      <c r="K17" s="76"/>
      <c r="L17" s="76"/>
      <c r="M17" s="77"/>
      <c r="N17" s="77"/>
      <c r="O17" s="77"/>
      <c r="P17" s="77"/>
      <c r="Q17" s="77"/>
      <c r="R17" s="77"/>
      <c r="S17" s="78"/>
      <c r="T17" s="78"/>
      <c r="U17" s="78"/>
      <c r="V17" s="78"/>
      <c r="W17" s="25"/>
      <c r="X17" s="25"/>
      <c r="Y17" s="25">
        <v>10</v>
      </c>
      <c r="Z17" s="32">
        <v>26</v>
      </c>
      <c r="AA17" s="32">
        <v>28</v>
      </c>
      <c r="AB17" s="21">
        <f>+(AA17-Y17)/Y17</f>
        <v>1.8</v>
      </c>
      <c r="AC17" s="33">
        <f>+AA17/AA14</f>
        <v>0.8</v>
      </c>
      <c r="AD17" s="109"/>
      <c r="AE17" s="109"/>
      <c r="AG17" s="109"/>
      <c r="AH17" s="82">
        <v>2</v>
      </c>
    </row>
    <row r="18" spans="1:34" s="11" customFormat="1" x14ac:dyDescent="0.15">
      <c r="A18" s="67"/>
      <c r="B18" s="67" t="s">
        <v>0</v>
      </c>
      <c r="C18" s="67" t="s">
        <v>0</v>
      </c>
      <c r="D18" s="67" t="s">
        <v>0</v>
      </c>
      <c r="E18" s="67" t="s">
        <v>5</v>
      </c>
      <c r="F18" s="67" t="s">
        <v>6</v>
      </c>
      <c r="G18" s="68">
        <f>SUM(G19:G21)</f>
        <v>696825.78</v>
      </c>
      <c r="H18" s="69">
        <f>SUM(H19:H21)</f>
        <v>-99386.932499999995</v>
      </c>
      <c r="I18" s="69">
        <f>SUM(I19:I21)</f>
        <v>597438.84749999992</v>
      </c>
      <c r="J18" s="69">
        <v>738361.02</v>
      </c>
      <c r="K18" s="69">
        <f>-67757.0883202973-714</f>
        <v>-68471.088320297305</v>
      </c>
      <c r="L18" s="69">
        <f>+J18+K18</f>
        <v>669889.93167970271</v>
      </c>
      <c r="M18" s="70">
        <v>-625799.03</v>
      </c>
      <c r="N18" s="70"/>
      <c r="O18" s="70"/>
      <c r="P18" s="70"/>
      <c r="Q18" s="70"/>
      <c r="R18" s="70">
        <f>+Q18+M18</f>
        <v>-625799.03</v>
      </c>
      <c r="S18" s="104">
        <f>+I18+R18</f>
        <v>-28360.182500000112</v>
      </c>
      <c r="T18" s="104">
        <f>+L18+R18</f>
        <v>44090.901679702685</v>
      </c>
      <c r="U18" s="104">
        <f>+I18+M18</f>
        <v>-28360.182500000112</v>
      </c>
      <c r="V18" s="104">
        <f>+L18+M18</f>
        <v>44090.901679702685</v>
      </c>
      <c r="W18" s="71">
        <f>SUM(W19:W21)</f>
        <v>98</v>
      </c>
      <c r="X18" s="71">
        <f>SUM(X19:X21)</f>
        <v>110</v>
      </c>
      <c r="Y18" s="71">
        <f>SUM(Y19:Y21)</f>
        <v>94</v>
      </c>
      <c r="Z18" s="71">
        <f>SUM(Z19:Z21)</f>
        <v>101</v>
      </c>
      <c r="AA18" s="71">
        <f>SUM(AA19:AA21)</f>
        <v>100</v>
      </c>
      <c r="AB18" s="72">
        <f>+(AA18-W18)/W18</f>
        <v>2.0408163265306121E-2</v>
      </c>
      <c r="AD18" s="107"/>
      <c r="AE18" s="107"/>
      <c r="AF18" s="108"/>
      <c r="AG18" s="107"/>
      <c r="AH18" s="81">
        <v>1</v>
      </c>
    </row>
    <row r="19" spans="1:34" x14ac:dyDescent="0.15">
      <c r="A19" s="73" t="s">
        <v>321</v>
      </c>
      <c r="B19" s="73" t="s">
        <v>322</v>
      </c>
      <c r="C19" s="73" t="s">
        <v>325</v>
      </c>
      <c r="D19" s="73" t="s">
        <v>326</v>
      </c>
      <c r="E19" s="73" t="s">
        <v>5</v>
      </c>
      <c r="F19" s="73" t="s">
        <v>6</v>
      </c>
      <c r="G19" s="74">
        <v>270739.78000000003</v>
      </c>
      <c r="H19" s="75">
        <v>-66048</v>
      </c>
      <c r="I19" s="75">
        <v>204691.78</v>
      </c>
      <c r="J19" s="76"/>
      <c r="K19" s="76"/>
      <c r="L19" s="76"/>
      <c r="M19" s="77"/>
      <c r="N19" s="77"/>
      <c r="O19" s="77"/>
      <c r="P19" s="77"/>
      <c r="Q19" s="77"/>
      <c r="R19" s="77"/>
      <c r="S19" s="78"/>
      <c r="T19" s="78"/>
      <c r="U19" s="78"/>
      <c r="V19" s="78"/>
      <c r="W19" s="25">
        <v>41</v>
      </c>
      <c r="X19" s="25">
        <v>45</v>
      </c>
      <c r="Y19" s="32">
        <v>35</v>
      </c>
      <c r="Z19" s="32">
        <v>29</v>
      </c>
      <c r="AA19" s="32">
        <v>39</v>
      </c>
      <c r="AB19" s="21">
        <f t="shared" ref="AB19:AB21" si="7">+(AA19-W19)/W19</f>
        <v>-4.878048780487805E-2</v>
      </c>
      <c r="AC19" s="33">
        <f>+AA19/AA18</f>
        <v>0.39</v>
      </c>
      <c r="AD19" s="109"/>
      <c r="AE19" s="109"/>
      <c r="AF19" s="110">
        <f>+AB19/AB18</f>
        <v>-2.3902439024390247</v>
      </c>
      <c r="AG19" s="109"/>
      <c r="AH19" s="103">
        <v>1</v>
      </c>
    </row>
    <row r="20" spans="1:34" x14ac:dyDescent="0.15">
      <c r="A20" s="73" t="s">
        <v>321</v>
      </c>
      <c r="B20" s="73" t="s">
        <v>322</v>
      </c>
      <c r="C20" s="73" t="s">
        <v>444</v>
      </c>
      <c r="D20" s="73" t="s">
        <v>445</v>
      </c>
      <c r="E20" s="73" t="s">
        <v>5</v>
      </c>
      <c r="F20" s="73" t="s">
        <v>6</v>
      </c>
      <c r="G20" s="74">
        <v>74535.95</v>
      </c>
      <c r="H20" s="75">
        <v>-1750</v>
      </c>
      <c r="I20" s="75">
        <v>72785.95</v>
      </c>
      <c r="J20" s="76"/>
      <c r="K20" s="76"/>
      <c r="L20" s="76"/>
      <c r="M20" s="77"/>
      <c r="N20" s="77"/>
      <c r="O20" s="77"/>
      <c r="P20" s="77"/>
      <c r="Q20" s="77"/>
      <c r="R20" s="77"/>
      <c r="S20" s="78"/>
      <c r="T20" s="78"/>
      <c r="U20" s="78"/>
      <c r="V20" s="78"/>
      <c r="W20" s="25">
        <v>23</v>
      </c>
      <c r="X20" s="25">
        <v>25</v>
      </c>
      <c r="Y20" s="32">
        <v>18</v>
      </c>
      <c r="Z20" s="32">
        <v>20</v>
      </c>
      <c r="AA20" s="32">
        <v>14</v>
      </c>
      <c r="AB20" s="21">
        <f>+(AA20-W20)/W20</f>
        <v>-0.39130434782608697</v>
      </c>
      <c r="AC20" s="33">
        <f>+AA20/AA14</f>
        <v>0.4</v>
      </c>
      <c r="AD20" s="109"/>
      <c r="AE20" s="109"/>
      <c r="AF20" s="110">
        <f>+AB20/AB18</f>
        <v>-19.173913043478262</v>
      </c>
      <c r="AG20" s="109"/>
      <c r="AH20" s="103">
        <v>1</v>
      </c>
    </row>
    <row r="21" spans="1:34" x14ac:dyDescent="0.15">
      <c r="A21" s="73" t="s">
        <v>321</v>
      </c>
      <c r="B21" s="73" t="s">
        <v>322</v>
      </c>
      <c r="C21" s="73" t="s">
        <v>442</v>
      </c>
      <c r="D21" s="73" t="s">
        <v>443</v>
      </c>
      <c r="E21" s="73" t="s">
        <v>5</v>
      </c>
      <c r="F21" s="73" t="s">
        <v>6</v>
      </c>
      <c r="G21" s="74">
        <v>351550.05</v>
      </c>
      <c r="H21" s="75">
        <v>-31588.932499999999</v>
      </c>
      <c r="I21" s="75">
        <v>319961.11749999999</v>
      </c>
      <c r="J21" s="76"/>
      <c r="K21" s="76"/>
      <c r="L21" s="76"/>
      <c r="M21" s="77"/>
      <c r="N21" s="77"/>
      <c r="O21" s="77"/>
      <c r="P21" s="77"/>
      <c r="Q21" s="77"/>
      <c r="R21" s="77"/>
      <c r="S21" s="78"/>
      <c r="T21" s="78"/>
      <c r="U21" s="78"/>
      <c r="V21" s="78"/>
      <c r="W21" s="25">
        <v>34</v>
      </c>
      <c r="X21" s="25">
        <v>40</v>
      </c>
      <c r="Y21" s="32">
        <v>41</v>
      </c>
      <c r="Z21" s="32">
        <v>52</v>
      </c>
      <c r="AA21" s="32">
        <v>47</v>
      </c>
      <c r="AB21" s="21">
        <f t="shared" si="7"/>
        <v>0.38235294117647056</v>
      </c>
      <c r="AC21" s="33">
        <f>+AA21/AA18</f>
        <v>0.47</v>
      </c>
      <c r="AD21" s="113"/>
      <c r="AE21" s="113"/>
      <c r="AF21" s="110">
        <f>+AB21/AB19</f>
        <v>-7.8382352941176459</v>
      </c>
      <c r="AG21" s="113"/>
      <c r="AH21" s="103">
        <v>1</v>
      </c>
    </row>
    <row r="22" spans="1:34" x14ac:dyDescent="0.15">
      <c r="A22" s="73" t="s">
        <v>321</v>
      </c>
      <c r="B22" s="73" t="s">
        <v>322</v>
      </c>
      <c r="C22" s="8" t="s">
        <v>444</v>
      </c>
      <c r="D22" s="8" t="s">
        <v>445</v>
      </c>
      <c r="E22" s="73" t="s">
        <v>5</v>
      </c>
      <c r="F22" s="8" t="s">
        <v>6</v>
      </c>
      <c r="G22" s="9">
        <v>74535.95</v>
      </c>
      <c r="H22" s="43">
        <v>-1750</v>
      </c>
      <c r="I22" s="43">
        <v>72785.95</v>
      </c>
      <c r="J22" s="76"/>
      <c r="K22" s="76"/>
      <c r="L22" s="76"/>
      <c r="M22" s="77"/>
      <c r="N22" s="77"/>
      <c r="O22" s="77"/>
      <c r="P22" s="77"/>
      <c r="Q22" s="77"/>
      <c r="R22" s="77"/>
      <c r="S22" s="78"/>
      <c r="T22" s="78"/>
      <c r="U22" s="78"/>
      <c r="V22" s="78"/>
      <c r="W22" s="25"/>
      <c r="X22" s="25"/>
      <c r="Y22" s="32"/>
      <c r="Z22" s="32"/>
      <c r="AA22" s="32"/>
      <c r="AB22" s="21"/>
      <c r="AD22" s="113"/>
      <c r="AE22" s="113"/>
      <c r="AG22" s="113"/>
      <c r="AH22" s="103">
        <v>1</v>
      </c>
    </row>
    <row r="23" spans="1:34" s="11" customFormat="1" x14ac:dyDescent="0.15">
      <c r="A23" s="67"/>
      <c r="B23" s="67" t="s">
        <v>0</v>
      </c>
      <c r="C23" s="67" t="s">
        <v>0</v>
      </c>
      <c r="D23" s="67" t="s">
        <v>0</v>
      </c>
      <c r="E23" s="67" t="s">
        <v>7</v>
      </c>
      <c r="F23" s="67" t="s">
        <v>6</v>
      </c>
      <c r="G23" s="68">
        <v>1155516.26</v>
      </c>
      <c r="H23" s="69">
        <v>-244233.41</v>
      </c>
      <c r="I23" s="69">
        <v>911282.85</v>
      </c>
      <c r="J23" s="69">
        <f>1480562.52+3567</f>
        <v>1484129.52</v>
      </c>
      <c r="K23" s="69">
        <f>-272814.807135383-187.5</f>
        <v>-273002.30713538302</v>
      </c>
      <c r="L23" s="69">
        <f>+J23+K23</f>
        <v>1211127.2128646169</v>
      </c>
      <c r="M23" s="70">
        <f>-874617.85-N23</f>
        <v>-867613.29999999993</v>
      </c>
      <c r="N23" s="70">
        <v>-7004.55</v>
      </c>
      <c r="O23" s="70"/>
      <c r="P23" s="70"/>
      <c r="Q23" s="70">
        <v>-5347.23</v>
      </c>
      <c r="R23" s="70">
        <f>+Q23+M23</f>
        <v>-872960.52999999991</v>
      </c>
      <c r="S23" s="104">
        <f>+I23+R23</f>
        <v>38322.320000000065</v>
      </c>
      <c r="T23" s="104">
        <f>+L23+R23</f>
        <v>338166.68286461697</v>
      </c>
      <c r="U23" s="104">
        <f>+I23+M23</f>
        <v>43669.550000000047</v>
      </c>
      <c r="V23" s="104">
        <f>+L23+M23</f>
        <v>343513.91286461696</v>
      </c>
      <c r="W23" s="71">
        <f>SUM(W24:W28)</f>
        <v>198</v>
      </c>
      <c r="X23" s="71">
        <f t="shared" ref="X23:AA23" si="8">SUM(X24:X28)</f>
        <v>191</v>
      </c>
      <c r="Y23" s="71">
        <f t="shared" si="8"/>
        <v>174</v>
      </c>
      <c r="Z23" s="71">
        <f t="shared" si="8"/>
        <v>172</v>
      </c>
      <c r="AA23" s="71">
        <f t="shared" si="8"/>
        <v>172</v>
      </c>
      <c r="AB23" s="72">
        <f>+(AA23-W23)/W23</f>
        <v>-0.13131313131313133</v>
      </c>
      <c r="AD23" s="107"/>
      <c r="AE23" s="107"/>
      <c r="AF23" s="108"/>
      <c r="AG23" s="107"/>
      <c r="AH23" s="81">
        <v>1</v>
      </c>
    </row>
    <row r="24" spans="1:34" x14ac:dyDescent="0.15">
      <c r="A24" s="73" t="s">
        <v>62</v>
      </c>
      <c r="B24" s="73" t="s">
        <v>195</v>
      </c>
      <c r="C24" s="73" t="s">
        <v>200</v>
      </c>
      <c r="D24" s="73" t="s">
        <v>201</v>
      </c>
      <c r="E24" s="73" t="s">
        <v>7</v>
      </c>
      <c r="F24" s="73" t="s">
        <v>6</v>
      </c>
      <c r="G24" s="74">
        <v>67592</v>
      </c>
      <c r="H24" s="75">
        <v>-10735.2</v>
      </c>
      <c r="I24" s="75">
        <v>56856.800000000003</v>
      </c>
      <c r="J24" s="76"/>
      <c r="K24" s="76"/>
      <c r="L24" s="76"/>
      <c r="M24" s="77"/>
      <c r="N24" s="77"/>
      <c r="O24" s="77"/>
      <c r="P24" s="77"/>
      <c r="Q24" s="77"/>
      <c r="R24" s="77"/>
      <c r="S24" s="78"/>
      <c r="T24" s="78"/>
      <c r="U24" s="78"/>
      <c r="V24" s="78"/>
      <c r="W24" s="25">
        <v>25</v>
      </c>
      <c r="X24" s="25">
        <v>21</v>
      </c>
      <c r="Y24" s="25">
        <v>25</v>
      </c>
      <c r="Z24" s="32">
        <v>20</v>
      </c>
      <c r="AA24" s="32">
        <v>19</v>
      </c>
      <c r="AB24" s="21">
        <f t="shared" ref="AB24:AB28" si="9">+(AA24-W24)/W24</f>
        <v>-0.24</v>
      </c>
      <c r="AC24" s="33">
        <f>+AA24/AA23</f>
        <v>0.11046511627906977</v>
      </c>
      <c r="AD24" s="109"/>
      <c r="AE24" s="109"/>
      <c r="AF24" s="110">
        <f>+AB24/AB21</f>
        <v>-0.62769230769230766</v>
      </c>
      <c r="AG24" s="109"/>
      <c r="AH24" s="82">
        <v>2</v>
      </c>
    </row>
    <row r="25" spans="1:34" x14ac:dyDescent="0.15">
      <c r="A25" s="73" t="s">
        <v>62</v>
      </c>
      <c r="B25" s="73" t="s">
        <v>63</v>
      </c>
      <c r="C25" s="73" t="s">
        <v>64</v>
      </c>
      <c r="D25" s="73" t="s">
        <v>65</v>
      </c>
      <c r="E25" s="73" t="s">
        <v>7</v>
      </c>
      <c r="F25" s="73" t="s">
        <v>6</v>
      </c>
      <c r="G25" s="74">
        <v>5132.5</v>
      </c>
      <c r="H25" s="75">
        <v>-3939.7</v>
      </c>
      <c r="I25" s="75">
        <v>1192.8</v>
      </c>
      <c r="J25" s="76"/>
      <c r="K25" s="76"/>
      <c r="L25" s="76"/>
      <c r="M25" s="77"/>
      <c r="N25" s="77"/>
      <c r="O25" s="77"/>
      <c r="P25" s="77"/>
      <c r="Q25" s="77"/>
      <c r="R25" s="77"/>
      <c r="S25" s="78"/>
      <c r="T25" s="78"/>
      <c r="U25" s="78"/>
      <c r="V25" s="78"/>
      <c r="W25" s="32">
        <v>5</v>
      </c>
      <c r="X25" s="32">
        <v>4</v>
      </c>
      <c r="Y25" s="32">
        <v>5</v>
      </c>
      <c r="Z25" s="32">
        <v>5</v>
      </c>
      <c r="AA25" s="32">
        <v>3</v>
      </c>
      <c r="AB25" s="21">
        <f t="shared" si="9"/>
        <v>-0.4</v>
      </c>
      <c r="AC25" s="33">
        <f>+AA25/AA23</f>
        <v>1.7441860465116279E-2</v>
      </c>
      <c r="AD25" s="109"/>
      <c r="AE25" s="109"/>
      <c r="AF25" s="110">
        <f>+AB25/AB21</f>
        <v>-1.0461538461538462</v>
      </c>
      <c r="AG25" s="109"/>
      <c r="AH25" s="82">
        <v>3</v>
      </c>
    </row>
    <row r="26" spans="1:34" x14ac:dyDescent="0.15">
      <c r="A26" s="73" t="s">
        <v>62</v>
      </c>
      <c r="B26" s="73" t="s">
        <v>195</v>
      </c>
      <c r="C26" s="73" t="s">
        <v>301</v>
      </c>
      <c r="D26" s="73" t="s">
        <v>302</v>
      </c>
      <c r="E26" s="73" t="s">
        <v>7</v>
      </c>
      <c r="F26" s="73" t="s">
        <v>6</v>
      </c>
      <c r="G26" s="74">
        <v>27268.1</v>
      </c>
      <c r="H26" s="75">
        <v>-8747.2000000000007</v>
      </c>
      <c r="I26" s="75">
        <v>18520.900000000001</v>
      </c>
      <c r="J26" s="76"/>
      <c r="K26" s="76"/>
      <c r="L26" s="76"/>
      <c r="M26" s="77"/>
      <c r="N26" s="77"/>
      <c r="O26" s="77"/>
      <c r="P26" s="77"/>
      <c r="Q26" s="77"/>
      <c r="R26" s="77"/>
      <c r="S26" s="78"/>
      <c r="T26" s="78"/>
      <c r="U26" s="78"/>
      <c r="V26" s="78"/>
      <c r="W26" s="25">
        <v>9</v>
      </c>
      <c r="X26" s="25">
        <v>8</v>
      </c>
      <c r="Y26" s="25">
        <v>7</v>
      </c>
      <c r="Z26" s="32">
        <v>7</v>
      </c>
      <c r="AA26" s="32">
        <v>6</v>
      </c>
      <c r="AB26" s="21">
        <f t="shared" si="9"/>
        <v>-0.33333333333333331</v>
      </c>
      <c r="AC26" s="33">
        <f>+AA26/AA23</f>
        <v>3.4883720930232558E-2</v>
      </c>
      <c r="AD26" s="109"/>
      <c r="AE26" s="109"/>
      <c r="AF26" s="110">
        <f>+AB26/AB21</f>
        <v>-0.87179487179487181</v>
      </c>
      <c r="AG26" s="109"/>
      <c r="AH26" s="82">
        <v>3</v>
      </c>
    </row>
    <row r="27" spans="1:34" x14ac:dyDescent="0.15">
      <c r="A27" s="73" t="s">
        <v>321</v>
      </c>
      <c r="B27" s="73" t="s">
        <v>322</v>
      </c>
      <c r="C27" s="73" t="s">
        <v>327</v>
      </c>
      <c r="D27" s="73" t="s">
        <v>328</v>
      </c>
      <c r="E27" s="73" t="s">
        <v>7</v>
      </c>
      <c r="F27" s="73" t="s">
        <v>6</v>
      </c>
      <c r="G27" s="74">
        <v>172654.6</v>
      </c>
      <c r="H27" s="75">
        <v>-29544.55</v>
      </c>
      <c r="I27" s="75">
        <v>143110.04999999999</v>
      </c>
      <c r="J27" s="76"/>
      <c r="K27" s="76"/>
      <c r="L27" s="76"/>
      <c r="M27" s="77"/>
      <c r="N27" s="77"/>
      <c r="O27" s="77"/>
      <c r="P27" s="77"/>
      <c r="Q27" s="77"/>
      <c r="R27" s="77"/>
      <c r="S27" s="78"/>
      <c r="T27" s="78"/>
      <c r="U27" s="78"/>
      <c r="V27" s="78"/>
      <c r="W27" s="25">
        <v>27</v>
      </c>
      <c r="X27" s="25">
        <v>32</v>
      </c>
      <c r="Y27" s="32">
        <v>28</v>
      </c>
      <c r="Z27" s="32">
        <v>33</v>
      </c>
      <c r="AA27" s="32">
        <v>25</v>
      </c>
      <c r="AB27" s="21">
        <f t="shared" si="9"/>
        <v>-7.407407407407407E-2</v>
      </c>
      <c r="AC27" s="33">
        <f>+AA27/AA23</f>
        <v>0.14534883720930233</v>
      </c>
      <c r="AD27" s="109"/>
      <c r="AE27" s="109"/>
      <c r="AF27" s="110">
        <f>+AB27/AB21</f>
        <v>-0.19373219373219375</v>
      </c>
      <c r="AG27" s="109"/>
      <c r="AH27" s="82">
        <v>1</v>
      </c>
    </row>
    <row r="28" spans="1:34" x14ac:dyDescent="0.15">
      <c r="A28" s="73" t="s">
        <v>321</v>
      </c>
      <c r="B28" s="73" t="s">
        <v>322</v>
      </c>
      <c r="C28" s="73" t="s">
        <v>438</v>
      </c>
      <c r="D28" s="73" t="s">
        <v>439</v>
      </c>
      <c r="E28" s="73" t="s">
        <v>7</v>
      </c>
      <c r="F28" s="73" t="s">
        <v>6</v>
      </c>
      <c r="G28" s="74">
        <v>882869.06</v>
      </c>
      <c r="H28" s="75">
        <v>-191266.76</v>
      </c>
      <c r="I28" s="75">
        <v>691602.3</v>
      </c>
      <c r="J28" s="76"/>
      <c r="K28" s="76"/>
      <c r="L28" s="76"/>
      <c r="M28" s="77"/>
      <c r="N28" s="77"/>
      <c r="O28" s="77"/>
      <c r="P28" s="77"/>
      <c r="Q28" s="77"/>
      <c r="R28" s="77"/>
      <c r="S28" s="78"/>
      <c r="T28" s="78"/>
      <c r="U28" s="78"/>
      <c r="V28" s="78"/>
      <c r="W28" s="25">
        <v>132</v>
      </c>
      <c r="X28" s="25">
        <v>126</v>
      </c>
      <c r="Y28" s="32">
        <v>109</v>
      </c>
      <c r="Z28" s="32">
        <v>107</v>
      </c>
      <c r="AA28" s="32">
        <v>119</v>
      </c>
      <c r="AB28" s="21">
        <f t="shared" si="9"/>
        <v>-9.8484848484848481E-2</v>
      </c>
      <c r="AC28" s="33">
        <f>+AA28/AA23</f>
        <v>0.69186046511627908</v>
      </c>
      <c r="AD28" s="113"/>
      <c r="AE28" s="113"/>
      <c r="AF28" s="110">
        <f>+AB28/AB23</f>
        <v>0.74999999999999989</v>
      </c>
      <c r="AG28" s="113"/>
      <c r="AH28" s="82">
        <v>1</v>
      </c>
    </row>
    <row r="29" spans="1:34" s="11" customFormat="1" x14ac:dyDescent="0.15">
      <c r="A29" s="67"/>
      <c r="B29" s="67" t="s">
        <v>0</v>
      </c>
      <c r="C29" s="67" t="s">
        <v>0</v>
      </c>
      <c r="D29" s="67" t="s">
        <v>0</v>
      </c>
      <c r="E29" s="67" t="s">
        <v>16</v>
      </c>
      <c r="F29" s="67" t="s">
        <v>6</v>
      </c>
      <c r="G29" s="68">
        <v>2423914.4500000002</v>
      </c>
      <c r="H29" s="69">
        <v>-419063.88250000001</v>
      </c>
      <c r="I29" s="69">
        <v>2004850.5674999999</v>
      </c>
      <c r="J29" s="69">
        <f>2142102.585+683813.28</f>
        <v>2825915.8650000002</v>
      </c>
      <c r="K29" s="69">
        <f>-353508.424382569-153550.63</f>
        <v>-507059.05438256898</v>
      </c>
      <c r="L29" s="69">
        <f>+J29+K29</f>
        <v>2318856.8106174311</v>
      </c>
      <c r="M29" s="70">
        <v>-1259370.8500000001</v>
      </c>
      <c r="N29" s="70"/>
      <c r="O29" s="70">
        <v>-946</v>
      </c>
      <c r="P29" s="70"/>
      <c r="Q29" s="70"/>
      <c r="R29" s="70">
        <f>+Q29+M29</f>
        <v>-1259370.8500000001</v>
      </c>
      <c r="S29" s="104">
        <f>+I29+R29</f>
        <v>745479.7174999998</v>
      </c>
      <c r="T29" s="104">
        <f>+L29+R29</f>
        <v>1059485.960617431</v>
      </c>
      <c r="U29" s="104">
        <f>+I29+M29</f>
        <v>745479.7174999998</v>
      </c>
      <c r="V29" s="104">
        <f>+L29+M29</f>
        <v>1059485.960617431</v>
      </c>
      <c r="W29" s="71">
        <f>SUM(W30:W31)</f>
        <v>425</v>
      </c>
      <c r="X29" s="71">
        <f t="shared" ref="X29:AA29" si="10">SUM(X30:X31)</f>
        <v>423</v>
      </c>
      <c r="Y29" s="71">
        <f t="shared" si="10"/>
        <v>439</v>
      </c>
      <c r="Z29" s="71">
        <f t="shared" si="10"/>
        <v>412</v>
      </c>
      <c r="AA29" s="71">
        <f t="shared" si="10"/>
        <v>383</v>
      </c>
      <c r="AB29" s="72">
        <f>+(AA29-W29)/W29</f>
        <v>-9.8823529411764699E-2</v>
      </c>
      <c r="AD29" s="107"/>
      <c r="AE29" s="107"/>
      <c r="AF29" s="108"/>
      <c r="AG29" s="107"/>
      <c r="AH29" s="81">
        <v>1</v>
      </c>
    </row>
    <row r="30" spans="1:34" x14ac:dyDescent="0.15">
      <c r="A30" s="73" t="s">
        <v>321</v>
      </c>
      <c r="B30" s="73" t="s">
        <v>322</v>
      </c>
      <c r="C30" s="73" t="s">
        <v>341</v>
      </c>
      <c r="D30" s="73" t="s">
        <v>342</v>
      </c>
      <c r="E30" s="73" t="s">
        <v>16</v>
      </c>
      <c r="F30" s="73" t="s">
        <v>6</v>
      </c>
      <c r="G30" s="74">
        <v>2132623.69</v>
      </c>
      <c r="H30" s="75">
        <v>-350211.28249999997</v>
      </c>
      <c r="I30" s="75">
        <v>1782412.4075</v>
      </c>
      <c r="J30" s="76"/>
      <c r="K30" s="76"/>
      <c r="L30" s="76"/>
      <c r="M30" s="77"/>
      <c r="N30" s="77"/>
      <c r="O30" s="77"/>
      <c r="P30" s="77"/>
      <c r="Q30" s="77"/>
      <c r="R30" s="77"/>
      <c r="S30" s="78"/>
      <c r="T30" s="78"/>
      <c r="U30" s="78"/>
      <c r="V30" s="78"/>
      <c r="W30" s="25">
        <v>425</v>
      </c>
      <c r="X30" s="25">
        <v>423</v>
      </c>
      <c r="Y30" s="32">
        <v>405</v>
      </c>
      <c r="Z30" s="32">
        <v>373</v>
      </c>
      <c r="AA30" s="32">
        <v>340</v>
      </c>
      <c r="AB30" s="21">
        <f>+(AA30-W30)/W30</f>
        <v>-0.2</v>
      </c>
      <c r="AC30" s="33">
        <f>+AA30/AA29</f>
        <v>0.8877284595300261</v>
      </c>
      <c r="AD30" s="109"/>
      <c r="AE30" s="109"/>
      <c r="AF30" s="110">
        <f>+AB30/AB29</f>
        <v>2.0238095238095242</v>
      </c>
      <c r="AG30" s="109"/>
      <c r="AH30" s="82">
        <v>1</v>
      </c>
    </row>
    <row r="31" spans="1:34" x14ac:dyDescent="0.15">
      <c r="A31" s="73" t="s">
        <v>321</v>
      </c>
      <c r="B31" s="73" t="s">
        <v>322</v>
      </c>
      <c r="C31" s="73" t="s">
        <v>371</v>
      </c>
      <c r="D31" s="73" t="s">
        <v>372</v>
      </c>
      <c r="E31" s="73" t="s">
        <v>16</v>
      </c>
      <c r="F31" s="73" t="s">
        <v>6</v>
      </c>
      <c r="G31" s="74">
        <v>291290.76</v>
      </c>
      <c r="H31" s="75">
        <v>-68852.600000000006</v>
      </c>
      <c r="I31" s="75">
        <v>222438.16</v>
      </c>
      <c r="J31" s="76"/>
      <c r="K31" s="76"/>
      <c r="L31" s="76"/>
      <c r="M31" s="77"/>
      <c r="N31" s="77"/>
      <c r="O31" s="77"/>
      <c r="P31" s="77"/>
      <c r="Q31" s="77"/>
      <c r="R31" s="77"/>
      <c r="S31" s="78"/>
      <c r="T31" s="78"/>
      <c r="U31" s="78"/>
      <c r="V31" s="78"/>
      <c r="W31" s="32"/>
      <c r="X31" s="32"/>
      <c r="Y31" s="32">
        <v>34</v>
      </c>
      <c r="Z31" s="32">
        <v>39</v>
      </c>
      <c r="AA31" s="32">
        <v>43</v>
      </c>
      <c r="AB31" s="21">
        <f>+(AA31-Y31)/Y31</f>
        <v>0.26470588235294118</v>
      </c>
      <c r="AC31" s="33">
        <f>+AA31/AA29</f>
        <v>0.1122715404699739</v>
      </c>
      <c r="AD31" s="109"/>
      <c r="AE31" s="109"/>
      <c r="AF31" s="110">
        <f>+AB31/AB29</f>
        <v>-2.6785714285714288</v>
      </c>
      <c r="AG31" s="109"/>
      <c r="AH31" s="82">
        <v>1</v>
      </c>
    </row>
    <row r="32" spans="1:34" s="11" customFormat="1" x14ac:dyDescent="0.15">
      <c r="A32" s="67"/>
      <c r="B32" s="67" t="s">
        <v>0</v>
      </c>
      <c r="C32" s="67" t="s">
        <v>0</v>
      </c>
      <c r="D32" s="67" t="s">
        <v>0</v>
      </c>
      <c r="E32" s="67" t="s">
        <v>21</v>
      </c>
      <c r="F32" s="67" t="s">
        <v>6</v>
      </c>
      <c r="G32" s="68">
        <v>1798571.82</v>
      </c>
      <c r="H32" s="69">
        <v>-387528.77750000003</v>
      </c>
      <c r="I32" s="69">
        <v>1411043.0425</v>
      </c>
      <c r="J32" s="69">
        <f>1715888.42+795.2</f>
        <v>1716683.6199999999</v>
      </c>
      <c r="K32" s="69">
        <f>-399723.929483035+1574</f>
        <v>-398149.929483035</v>
      </c>
      <c r="L32" s="69">
        <f>+J32+K32</f>
        <v>1318533.690516965</v>
      </c>
      <c r="M32" s="70">
        <v>-707698.49</v>
      </c>
      <c r="N32" s="70"/>
      <c r="O32" s="70">
        <v>-233104.63</v>
      </c>
      <c r="P32" s="70">
        <v>-3229.5</v>
      </c>
      <c r="Q32" s="70">
        <v>-1416.98</v>
      </c>
      <c r="R32" s="70">
        <f>+Q32+M32</f>
        <v>-709115.47</v>
      </c>
      <c r="S32" s="104">
        <f>+I32+R32</f>
        <v>701927.57250000001</v>
      </c>
      <c r="T32" s="104">
        <f>+L32+R32</f>
        <v>609418.22051696503</v>
      </c>
      <c r="U32" s="104">
        <f>+I32+M32</f>
        <v>703344.55249999999</v>
      </c>
      <c r="V32" s="104">
        <f>+L32+M32</f>
        <v>610835.20051696501</v>
      </c>
      <c r="W32" s="71">
        <f>SUM(W33:W34)</f>
        <v>281</v>
      </c>
      <c r="X32" s="71">
        <f t="shared" ref="X32:AA32" si="11">SUM(X33:X34)</f>
        <v>301</v>
      </c>
      <c r="Y32" s="71">
        <f t="shared" si="11"/>
        <v>310</v>
      </c>
      <c r="Z32" s="71">
        <f t="shared" si="11"/>
        <v>296</v>
      </c>
      <c r="AA32" s="71">
        <f t="shared" si="11"/>
        <v>310</v>
      </c>
      <c r="AB32" s="72">
        <f>+(AA32-W32)/W32</f>
        <v>0.10320284697508897</v>
      </c>
      <c r="AD32" s="107"/>
      <c r="AE32" s="107"/>
      <c r="AF32" s="108"/>
      <c r="AG32" s="107"/>
      <c r="AH32" s="81">
        <v>1</v>
      </c>
    </row>
    <row r="33" spans="1:34" x14ac:dyDescent="0.15">
      <c r="A33" s="73" t="s">
        <v>62</v>
      </c>
      <c r="B33" s="73" t="s">
        <v>195</v>
      </c>
      <c r="C33" s="73" t="s">
        <v>225</v>
      </c>
      <c r="D33" s="73" t="s">
        <v>226</v>
      </c>
      <c r="E33" s="73" t="s">
        <v>21</v>
      </c>
      <c r="F33" s="73" t="s">
        <v>6</v>
      </c>
      <c r="G33" s="74">
        <v>111987.1</v>
      </c>
      <c r="H33" s="75">
        <v>-40837.9</v>
      </c>
      <c r="I33" s="75">
        <v>71149.2</v>
      </c>
      <c r="J33" s="76"/>
      <c r="K33" s="76"/>
      <c r="L33" s="76"/>
      <c r="M33" s="77"/>
      <c r="N33" s="77"/>
      <c r="O33" s="77"/>
      <c r="P33" s="77"/>
      <c r="Q33" s="77"/>
      <c r="R33" s="77"/>
      <c r="S33" s="78"/>
      <c r="T33" s="78"/>
      <c r="U33" s="78"/>
      <c r="V33" s="78"/>
      <c r="W33" s="25">
        <v>35</v>
      </c>
      <c r="X33" s="25">
        <v>32</v>
      </c>
      <c r="Y33" s="25">
        <v>35</v>
      </c>
      <c r="Z33" s="32">
        <v>31</v>
      </c>
      <c r="AA33" s="32">
        <v>26</v>
      </c>
      <c r="AB33" s="21">
        <f t="shared" ref="AB33:AB34" si="12">+(AA33-W33)/W33</f>
        <v>-0.25714285714285712</v>
      </c>
      <c r="AC33" s="33">
        <f>+AA33/AA32</f>
        <v>8.387096774193549E-2</v>
      </c>
      <c r="AD33" s="109"/>
      <c r="AE33" s="109"/>
      <c r="AF33" s="110">
        <f>+AB33/AB32</f>
        <v>-2.4916256157635464</v>
      </c>
      <c r="AG33" s="109"/>
      <c r="AH33" s="82">
        <v>1</v>
      </c>
    </row>
    <row r="34" spans="1:34" x14ac:dyDescent="0.15">
      <c r="A34" s="73" t="s">
        <v>321</v>
      </c>
      <c r="B34" s="73" t="s">
        <v>322</v>
      </c>
      <c r="C34" s="73" t="s">
        <v>347</v>
      </c>
      <c r="D34" s="73" t="s">
        <v>348</v>
      </c>
      <c r="E34" s="73" t="s">
        <v>21</v>
      </c>
      <c r="F34" s="73" t="s">
        <v>6</v>
      </c>
      <c r="G34" s="74">
        <v>1686584.72</v>
      </c>
      <c r="H34" s="75">
        <v>-346690.8775</v>
      </c>
      <c r="I34" s="75">
        <v>1339893.8425</v>
      </c>
      <c r="J34" s="76"/>
      <c r="K34" s="76"/>
      <c r="L34" s="76"/>
      <c r="M34" s="77"/>
      <c r="N34" s="77"/>
      <c r="O34" s="77"/>
      <c r="P34" s="77"/>
      <c r="Q34" s="77"/>
      <c r="R34" s="77"/>
      <c r="S34" s="78"/>
      <c r="T34" s="78"/>
      <c r="U34" s="78"/>
      <c r="V34" s="78"/>
      <c r="W34" s="25">
        <v>246</v>
      </c>
      <c r="X34" s="25">
        <v>269</v>
      </c>
      <c r="Y34" s="32">
        <v>275</v>
      </c>
      <c r="Z34" s="32">
        <v>265</v>
      </c>
      <c r="AA34" s="32">
        <v>284</v>
      </c>
      <c r="AB34" s="21">
        <f t="shared" si="12"/>
        <v>0.15447154471544716</v>
      </c>
      <c r="AC34" s="33">
        <f>+AA34/AA32</f>
        <v>0.91612903225806452</v>
      </c>
      <c r="AD34" s="109"/>
      <c r="AE34" s="109"/>
      <c r="AF34" s="110">
        <f>+AB34/AB32</f>
        <v>1.4967760022427812</v>
      </c>
      <c r="AG34" s="109"/>
      <c r="AH34" s="82">
        <v>1</v>
      </c>
    </row>
    <row r="35" spans="1:34" s="11" customFormat="1" x14ac:dyDescent="0.15">
      <c r="A35" s="67"/>
      <c r="B35" s="67" t="s">
        <v>0</v>
      </c>
      <c r="C35" s="67" t="s">
        <v>0</v>
      </c>
      <c r="D35" s="67" t="s">
        <v>0</v>
      </c>
      <c r="E35" s="67" t="s">
        <v>25</v>
      </c>
      <c r="F35" s="67" t="s">
        <v>6</v>
      </c>
      <c r="G35" s="68">
        <f>SUM(G36:G46)</f>
        <v>1281368.8400000001</v>
      </c>
      <c r="H35" s="69">
        <f>SUM(H36:H46)</f>
        <v>-295104.42499999999</v>
      </c>
      <c r="I35" s="69">
        <f>SUM(I36:I46)</f>
        <v>986264.41499999992</v>
      </c>
      <c r="J35" s="69">
        <v>1263064.54</v>
      </c>
      <c r="K35" s="69">
        <f>-284111.806782442-509</f>
        <v>-284620.80678244203</v>
      </c>
      <c r="L35" s="69">
        <f>+J35+K35</f>
        <v>978443.73321755801</v>
      </c>
      <c r="M35" s="70">
        <v>-884191.14</v>
      </c>
      <c r="N35" s="70"/>
      <c r="O35" s="70"/>
      <c r="P35" s="70"/>
      <c r="Q35" s="70"/>
      <c r="R35" s="70">
        <f>+Q35+M35</f>
        <v>-884191.14</v>
      </c>
      <c r="S35" s="104">
        <f>+I35+R35</f>
        <v>102073.27499999991</v>
      </c>
      <c r="T35" s="104">
        <f>+L35+R35</f>
        <v>94252.593217557995</v>
      </c>
      <c r="U35" s="104">
        <f>+I35+M35</f>
        <v>102073.27499999991</v>
      </c>
      <c r="V35" s="104">
        <f>+L35+M35</f>
        <v>94252.593217557995</v>
      </c>
      <c r="W35" s="71">
        <f>SUM(W36:W46)</f>
        <v>252</v>
      </c>
      <c r="X35" s="71">
        <f t="shared" ref="X35:AA35" si="13">SUM(X36:X46)</f>
        <v>256</v>
      </c>
      <c r="Y35" s="71">
        <f t="shared" si="13"/>
        <v>263</v>
      </c>
      <c r="Z35" s="71">
        <f t="shared" si="13"/>
        <v>248</v>
      </c>
      <c r="AA35" s="71">
        <f t="shared" si="13"/>
        <v>257</v>
      </c>
      <c r="AB35" s="72">
        <f>+(AA35-W35)/W35</f>
        <v>1.984126984126984E-2</v>
      </c>
      <c r="AD35" s="107"/>
      <c r="AE35" s="107"/>
      <c r="AF35" s="108"/>
      <c r="AG35" s="107"/>
      <c r="AH35" s="81">
        <v>1</v>
      </c>
    </row>
    <row r="36" spans="1:34" x14ac:dyDescent="0.15">
      <c r="A36" s="73" t="s">
        <v>62</v>
      </c>
      <c r="B36" s="73" t="s">
        <v>63</v>
      </c>
      <c r="C36" s="73" t="s">
        <v>89</v>
      </c>
      <c r="D36" s="73" t="s">
        <v>90</v>
      </c>
      <c r="E36" s="73" t="s">
        <v>25</v>
      </c>
      <c r="F36" s="73" t="s">
        <v>6</v>
      </c>
      <c r="G36" s="74">
        <v>75035.399999999994</v>
      </c>
      <c r="H36" s="75">
        <v>-72861.67</v>
      </c>
      <c r="I36" s="75">
        <v>2173.73</v>
      </c>
      <c r="J36" s="76"/>
      <c r="K36" s="76"/>
      <c r="L36" s="76"/>
      <c r="M36" s="77"/>
      <c r="N36" s="77"/>
      <c r="O36" s="77"/>
      <c r="P36" s="77"/>
      <c r="Q36" s="77"/>
      <c r="R36" s="77"/>
      <c r="S36" s="78"/>
      <c r="T36" s="78"/>
      <c r="U36" s="78"/>
      <c r="V36" s="78"/>
      <c r="W36" s="32">
        <v>15</v>
      </c>
      <c r="X36" s="32">
        <v>15</v>
      </c>
      <c r="Y36" s="32">
        <v>15</v>
      </c>
      <c r="Z36" s="32">
        <v>14</v>
      </c>
      <c r="AA36" s="32">
        <v>11</v>
      </c>
      <c r="AB36" s="21">
        <f t="shared" ref="AB36:AB39" si="14">+(AA36-W36)/W36</f>
        <v>-0.26666666666666666</v>
      </c>
      <c r="AC36" s="33">
        <f>+AA36/AA35</f>
        <v>4.2801556420233464E-2</v>
      </c>
      <c r="AD36" s="109"/>
      <c r="AE36" s="109"/>
      <c r="AF36" s="110">
        <f>+AB36/AB35</f>
        <v>-13.440000000000001</v>
      </c>
      <c r="AG36" s="109"/>
      <c r="AH36" s="82">
        <v>1</v>
      </c>
    </row>
    <row r="37" spans="1:34" x14ac:dyDescent="0.15">
      <c r="A37" s="73" t="s">
        <v>62</v>
      </c>
      <c r="B37" s="73" t="s">
        <v>195</v>
      </c>
      <c r="C37" s="73" t="s">
        <v>244</v>
      </c>
      <c r="D37" s="73" t="s">
        <v>245</v>
      </c>
      <c r="E37" s="73" t="s">
        <v>25</v>
      </c>
      <c r="F37" s="73" t="s">
        <v>6</v>
      </c>
      <c r="G37" s="74">
        <v>172554.4</v>
      </c>
      <c r="H37" s="75">
        <v>-59320.1</v>
      </c>
      <c r="I37" s="75">
        <v>113234.3</v>
      </c>
      <c r="J37" s="76"/>
      <c r="K37" s="76"/>
      <c r="L37" s="76"/>
      <c r="M37" s="77"/>
      <c r="N37" s="77"/>
      <c r="O37" s="77"/>
      <c r="P37" s="77"/>
      <c r="Q37" s="77"/>
      <c r="R37" s="77"/>
      <c r="S37" s="78"/>
      <c r="T37" s="78"/>
      <c r="U37" s="78"/>
      <c r="V37" s="78"/>
      <c r="W37" s="25">
        <v>18</v>
      </c>
      <c r="X37" s="25">
        <v>20</v>
      </c>
      <c r="Y37" s="25">
        <v>20</v>
      </c>
      <c r="Z37" s="32">
        <v>27</v>
      </c>
      <c r="AA37" s="32">
        <v>26</v>
      </c>
      <c r="AB37" s="21">
        <f t="shared" si="14"/>
        <v>0.44444444444444442</v>
      </c>
      <c r="AC37" s="33">
        <f>+AA37/AA35</f>
        <v>0.10116731517509728</v>
      </c>
      <c r="AD37" s="109"/>
      <c r="AE37" s="109"/>
      <c r="AF37" s="110">
        <f>+AB37/AB35</f>
        <v>22.4</v>
      </c>
      <c r="AG37" s="109"/>
      <c r="AH37" s="82">
        <v>1</v>
      </c>
    </row>
    <row r="38" spans="1:34" x14ac:dyDescent="0.15">
      <c r="A38" s="73" t="s">
        <v>62</v>
      </c>
      <c r="B38" s="73" t="s">
        <v>148</v>
      </c>
      <c r="C38" s="73" t="s">
        <v>166</v>
      </c>
      <c r="D38" s="73" t="s">
        <v>167</v>
      </c>
      <c r="E38" s="73" t="s">
        <v>25</v>
      </c>
      <c r="F38" s="73" t="s">
        <v>6</v>
      </c>
      <c r="G38" s="74">
        <v>13120.8</v>
      </c>
      <c r="H38" s="75"/>
      <c r="I38" s="75">
        <v>13120.8</v>
      </c>
      <c r="J38" s="76"/>
      <c r="K38" s="76"/>
      <c r="L38" s="76"/>
      <c r="M38" s="77"/>
      <c r="N38" s="77"/>
      <c r="O38" s="77"/>
      <c r="P38" s="77"/>
      <c r="Q38" s="77"/>
      <c r="R38" s="77"/>
      <c r="S38" s="78"/>
      <c r="T38" s="78"/>
      <c r="U38" s="78"/>
      <c r="V38" s="78"/>
      <c r="W38" s="25">
        <v>14</v>
      </c>
      <c r="X38" s="25">
        <v>12</v>
      </c>
      <c r="Y38" s="25">
        <v>10</v>
      </c>
      <c r="Z38" s="32">
        <v>11</v>
      </c>
      <c r="AA38" s="32">
        <v>14</v>
      </c>
      <c r="AB38" s="21">
        <f t="shared" si="14"/>
        <v>0</v>
      </c>
      <c r="AC38" s="33">
        <f>+AA38/$AA$35</f>
        <v>5.4474708171206226E-2</v>
      </c>
      <c r="AD38" s="109"/>
      <c r="AE38" s="109"/>
      <c r="AF38" s="110" t="e">
        <f>+AB38/$U$34</f>
        <v>#DIV/0!</v>
      </c>
      <c r="AG38" s="109"/>
      <c r="AH38" s="82">
        <v>1</v>
      </c>
    </row>
    <row r="39" spans="1:34" x14ac:dyDescent="0.15">
      <c r="A39" s="93" t="s">
        <v>321</v>
      </c>
      <c r="B39" s="93" t="s">
        <v>479</v>
      </c>
      <c r="C39" s="93" t="s">
        <v>480</v>
      </c>
      <c r="D39" s="93" t="s">
        <v>481</v>
      </c>
      <c r="E39" s="93" t="s">
        <v>25</v>
      </c>
      <c r="F39" s="93" t="s">
        <v>6</v>
      </c>
      <c r="G39" s="94">
        <v>9279.2000000000007</v>
      </c>
      <c r="H39" s="95"/>
      <c r="I39" s="95">
        <f>+G39</f>
        <v>9279.2000000000007</v>
      </c>
      <c r="J39" s="76"/>
      <c r="K39" s="76"/>
      <c r="L39" s="76"/>
      <c r="M39" s="77"/>
      <c r="N39" s="77"/>
      <c r="O39" s="77"/>
      <c r="P39" s="77"/>
      <c r="Q39" s="77"/>
      <c r="R39" s="77"/>
      <c r="S39" s="78"/>
      <c r="T39" s="78"/>
      <c r="U39" s="78"/>
      <c r="V39" s="78"/>
      <c r="W39" s="96">
        <v>22</v>
      </c>
      <c r="X39" s="96">
        <v>30</v>
      </c>
      <c r="Y39" s="96">
        <v>36</v>
      </c>
      <c r="Z39" s="96">
        <v>35</v>
      </c>
      <c r="AA39" s="96">
        <v>39</v>
      </c>
      <c r="AB39" s="21">
        <f t="shared" si="14"/>
        <v>0.77272727272727271</v>
      </c>
      <c r="AC39" s="33">
        <f>+AA39/$AA$35</f>
        <v>0.1517509727626459</v>
      </c>
      <c r="AD39" s="109"/>
      <c r="AE39" s="109"/>
      <c r="AF39" s="110" t="e">
        <f>+AB39/$U$34</f>
        <v>#DIV/0!</v>
      </c>
      <c r="AG39" s="109"/>
      <c r="AH39" s="82">
        <v>1</v>
      </c>
    </row>
    <row r="40" spans="1:34" x14ac:dyDescent="0.15">
      <c r="A40" s="73" t="s">
        <v>321</v>
      </c>
      <c r="B40" s="73" t="s">
        <v>322</v>
      </c>
      <c r="C40" s="73" t="s">
        <v>355</v>
      </c>
      <c r="D40" s="73" t="s">
        <v>356</v>
      </c>
      <c r="E40" s="73" t="s">
        <v>25</v>
      </c>
      <c r="F40" s="73" t="s">
        <v>6</v>
      </c>
      <c r="G40" s="74">
        <v>174939.4</v>
      </c>
      <c r="H40" s="75">
        <v>-35231.474999999999</v>
      </c>
      <c r="I40" s="75">
        <v>139707.92499999999</v>
      </c>
      <c r="J40" s="76"/>
      <c r="K40" s="76"/>
      <c r="L40" s="76"/>
      <c r="M40" s="77"/>
      <c r="N40" s="77"/>
      <c r="O40" s="77"/>
      <c r="P40" s="77"/>
      <c r="Q40" s="77"/>
      <c r="R40" s="77"/>
      <c r="S40" s="78"/>
      <c r="T40" s="78"/>
      <c r="U40" s="78"/>
      <c r="V40" s="78"/>
      <c r="W40" s="32"/>
      <c r="X40" s="32"/>
      <c r="Y40" s="32"/>
      <c r="Z40" s="32"/>
      <c r="AA40" s="32">
        <v>41</v>
      </c>
      <c r="AB40" s="22"/>
      <c r="AC40" s="33">
        <f t="shared" ref="AC40:AC46" si="15">+AA40/$AA$35</f>
        <v>0.15953307392996108</v>
      </c>
      <c r="AD40" s="109"/>
      <c r="AE40" s="109"/>
      <c r="AF40" s="110" t="e">
        <f t="shared" ref="AF40:AF46" si="16">+AB40/$U$34</f>
        <v>#DIV/0!</v>
      </c>
      <c r="AG40" s="109"/>
      <c r="AH40" s="82">
        <v>1</v>
      </c>
    </row>
    <row r="41" spans="1:34" x14ac:dyDescent="0.15">
      <c r="A41" s="73" t="s">
        <v>321</v>
      </c>
      <c r="B41" s="73" t="s">
        <v>322</v>
      </c>
      <c r="C41" s="73" t="s">
        <v>367</v>
      </c>
      <c r="D41" s="73" t="s">
        <v>368</v>
      </c>
      <c r="E41" s="73" t="s">
        <v>25</v>
      </c>
      <c r="F41" s="73" t="s">
        <v>6</v>
      </c>
      <c r="G41" s="74">
        <v>157886.35</v>
      </c>
      <c r="H41" s="75">
        <v>-14592.2</v>
      </c>
      <c r="I41" s="75">
        <v>143294.15</v>
      </c>
      <c r="J41" s="76"/>
      <c r="K41" s="76"/>
      <c r="L41" s="76"/>
      <c r="M41" s="77"/>
      <c r="N41" s="77"/>
      <c r="O41" s="77"/>
      <c r="P41" s="77"/>
      <c r="Q41" s="77"/>
      <c r="R41" s="77"/>
      <c r="S41" s="78"/>
      <c r="T41" s="78"/>
      <c r="U41" s="78"/>
      <c r="V41" s="78"/>
      <c r="W41" s="25">
        <v>21</v>
      </c>
      <c r="X41" s="25">
        <v>26</v>
      </c>
      <c r="Y41" s="32">
        <v>27</v>
      </c>
      <c r="Z41" s="32">
        <v>33</v>
      </c>
      <c r="AA41" s="32">
        <v>32</v>
      </c>
      <c r="AB41" s="21">
        <f t="shared" ref="AB41:AB46" si="17">+(AA41-W41)/W41</f>
        <v>0.52380952380952384</v>
      </c>
      <c r="AC41" s="33">
        <f t="shared" si="15"/>
        <v>0.1245136186770428</v>
      </c>
      <c r="AD41" s="109"/>
      <c r="AE41" s="109"/>
      <c r="AF41" s="110" t="e">
        <f t="shared" si="16"/>
        <v>#DIV/0!</v>
      </c>
      <c r="AG41" s="109"/>
      <c r="AH41" s="82">
        <v>1</v>
      </c>
    </row>
    <row r="42" spans="1:34" x14ac:dyDescent="0.15">
      <c r="A42" s="73" t="s">
        <v>321</v>
      </c>
      <c r="B42" s="73" t="s">
        <v>322</v>
      </c>
      <c r="C42" s="73" t="s">
        <v>365</v>
      </c>
      <c r="D42" s="73" t="s">
        <v>366</v>
      </c>
      <c r="E42" s="73" t="s">
        <v>25</v>
      </c>
      <c r="F42" s="73" t="s">
        <v>6</v>
      </c>
      <c r="G42" s="74">
        <v>468819.49</v>
      </c>
      <c r="H42" s="75">
        <v>-90171.18</v>
      </c>
      <c r="I42" s="75">
        <v>378648.31</v>
      </c>
      <c r="J42" s="76"/>
      <c r="K42" s="76"/>
      <c r="L42" s="76"/>
      <c r="M42" s="77"/>
      <c r="N42" s="77"/>
      <c r="O42" s="77"/>
      <c r="P42" s="77"/>
      <c r="Q42" s="77"/>
      <c r="R42" s="77"/>
      <c r="S42" s="78"/>
      <c r="T42" s="78"/>
      <c r="U42" s="78"/>
      <c r="V42" s="78"/>
      <c r="W42" s="25">
        <v>88</v>
      </c>
      <c r="X42" s="25">
        <v>74</v>
      </c>
      <c r="Y42" s="32">
        <v>88</v>
      </c>
      <c r="Z42" s="32">
        <v>76</v>
      </c>
      <c r="AA42" s="32">
        <v>61</v>
      </c>
      <c r="AB42" s="21">
        <f t="shared" si="17"/>
        <v>-0.30681818181818182</v>
      </c>
      <c r="AC42" s="33">
        <f t="shared" si="15"/>
        <v>0.23735408560311283</v>
      </c>
      <c r="AD42" s="109"/>
      <c r="AE42" s="109"/>
      <c r="AF42" s="110" t="e">
        <f t="shared" si="16"/>
        <v>#DIV/0!</v>
      </c>
      <c r="AG42" s="109"/>
      <c r="AH42" s="82">
        <v>1</v>
      </c>
    </row>
    <row r="43" spans="1:34" x14ac:dyDescent="0.15">
      <c r="A43" s="73" t="s">
        <v>321</v>
      </c>
      <c r="B43" s="73" t="s">
        <v>322</v>
      </c>
      <c r="C43" s="73" t="s">
        <v>373</v>
      </c>
      <c r="D43" s="73" t="s">
        <v>374</v>
      </c>
      <c r="E43" s="73" t="s">
        <v>25</v>
      </c>
      <c r="F43" s="73" t="s">
        <v>6</v>
      </c>
      <c r="G43" s="74">
        <v>31826.6</v>
      </c>
      <c r="H43" s="75">
        <v>-3000</v>
      </c>
      <c r="I43" s="75">
        <v>28826.6</v>
      </c>
      <c r="J43" s="76"/>
      <c r="K43" s="76"/>
      <c r="L43" s="76"/>
      <c r="M43" s="77"/>
      <c r="N43" s="77"/>
      <c r="O43" s="77"/>
      <c r="P43" s="77"/>
      <c r="Q43" s="77"/>
      <c r="R43" s="77"/>
      <c r="S43" s="78"/>
      <c r="T43" s="78"/>
      <c r="U43" s="78"/>
      <c r="V43" s="78"/>
      <c r="W43" s="25">
        <v>3</v>
      </c>
      <c r="X43" s="25">
        <v>6</v>
      </c>
      <c r="Y43" s="32">
        <v>5</v>
      </c>
      <c r="Z43" s="32">
        <v>6</v>
      </c>
      <c r="AA43" s="32">
        <v>3</v>
      </c>
      <c r="AB43" s="21">
        <f t="shared" si="17"/>
        <v>0</v>
      </c>
      <c r="AC43" s="33">
        <f t="shared" si="15"/>
        <v>1.1673151750972763E-2</v>
      </c>
      <c r="AD43" s="109"/>
      <c r="AE43" s="109"/>
      <c r="AF43" s="110" t="e">
        <f t="shared" si="16"/>
        <v>#DIV/0!</v>
      </c>
      <c r="AG43" s="109"/>
      <c r="AH43" s="82">
        <v>3</v>
      </c>
    </row>
    <row r="44" spans="1:34" x14ac:dyDescent="0.15">
      <c r="A44" s="73" t="s">
        <v>321</v>
      </c>
      <c r="B44" s="73" t="s">
        <v>322</v>
      </c>
      <c r="C44" s="73" t="s">
        <v>375</v>
      </c>
      <c r="D44" s="73" t="s">
        <v>376</v>
      </c>
      <c r="E44" s="73" t="s">
        <v>25</v>
      </c>
      <c r="F44" s="73" t="s">
        <v>6</v>
      </c>
      <c r="G44" s="74">
        <v>48001.5</v>
      </c>
      <c r="H44" s="75">
        <v>-7461</v>
      </c>
      <c r="I44" s="75">
        <v>40540.5</v>
      </c>
      <c r="J44" s="76"/>
      <c r="K44" s="76"/>
      <c r="L44" s="76"/>
      <c r="M44" s="77"/>
      <c r="N44" s="77"/>
      <c r="O44" s="77"/>
      <c r="P44" s="77"/>
      <c r="Q44" s="77"/>
      <c r="R44" s="77"/>
      <c r="S44" s="78"/>
      <c r="T44" s="78"/>
      <c r="U44" s="78"/>
      <c r="V44" s="78"/>
      <c r="W44" s="25">
        <v>15</v>
      </c>
      <c r="X44" s="25">
        <v>19</v>
      </c>
      <c r="Y44" s="32">
        <v>18</v>
      </c>
      <c r="Z44" s="32">
        <v>15</v>
      </c>
      <c r="AA44" s="32">
        <v>10</v>
      </c>
      <c r="AB44" s="21">
        <f t="shared" si="17"/>
        <v>-0.33333333333333331</v>
      </c>
      <c r="AC44" s="33">
        <f t="shared" si="15"/>
        <v>3.8910505836575876E-2</v>
      </c>
      <c r="AD44" s="109"/>
      <c r="AE44" s="109"/>
      <c r="AF44" s="110" t="e">
        <f t="shared" si="16"/>
        <v>#DIV/0!</v>
      </c>
      <c r="AG44" s="109"/>
      <c r="AH44" s="82">
        <v>3</v>
      </c>
    </row>
    <row r="45" spans="1:34" x14ac:dyDescent="0.15">
      <c r="A45" s="73" t="s">
        <v>321</v>
      </c>
      <c r="B45" s="73" t="s">
        <v>322</v>
      </c>
      <c r="C45" s="73" t="s">
        <v>377</v>
      </c>
      <c r="D45" s="73" t="s">
        <v>378</v>
      </c>
      <c r="E45" s="73" t="s">
        <v>25</v>
      </c>
      <c r="F45" s="73" t="s">
        <v>6</v>
      </c>
      <c r="G45" s="74">
        <v>4870.2</v>
      </c>
      <c r="H45" s="75"/>
      <c r="I45" s="75">
        <v>4870.2</v>
      </c>
      <c r="J45" s="76"/>
      <c r="K45" s="76"/>
      <c r="L45" s="76"/>
      <c r="M45" s="77"/>
      <c r="N45" s="77"/>
      <c r="O45" s="77"/>
      <c r="P45" s="77"/>
      <c r="Q45" s="77"/>
      <c r="R45" s="77"/>
      <c r="S45" s="78"/>
      <c r="T45" s="78"/>
      <c r="U45" s="78"/>
      <c r="V45" s="78"/>
      <c r="W45" s="25">
        <v>8</v>
      </c>
      <c r="X45" s="25">
        <v>5</v>
      </c>
      <c r="Y45" s="32">
        <v>3</v>
      </c>
      <c r="Z45" s="32">
        <v>1</v>
      </c>
      <c r="AA45" s="32">
        <v>1</v>
      </c>
      <c r="AB45" s="21">
        <f t="shared" si="17"/>
        <v>-0.875</v>
      </c>
      <c r="AC45" s="33">
        <f t="shared" si="15"/>
        <v>3.8910505836575876E-3</v>
      </c>
      <c r="AD45" s="109"/>
      <c r="AE45" s="109"/>
      <c r="AF45" s="110" t="e">
        <f t="shared" si="16"/>
        <v>#DIV/0!</v>
      </c>
      <c r="AG45" s="109"/>
      <c r="AH45" s="82">
        <v>3</v>
      </c>
    </row>
    <row r="46" spans="1:34" x14ac:dyDescent="0.15">
      <c r="A46" s="73" t="s">
        <v>321</v>
      </c>
      <c r="B46" s="73" t="s">
        <v>322</v>
      </c>
      <c r="C46" s="73" t="s">
        <v>379</v>
      </c>
      <c r="D46" s="73" t="s">
        <v>380</v>
      </c>
      <c r="E46" s="73" t="s">
        <v>25</v>
      </c>
      <c r="F46" s="73" t="s">
        <v>6</v>
      </c>
      <c r="G46" s="74">
        <v>125035.5</v>
      </c>
      <c r="H46" s="75">
        <v>-12466.8</v>
      </c>
      <c r="I46" s="75">
        <v>112568.7</v>
      </c>
      <c r="J46" s="76"/>
      <c r="K46" s="76"/>
      <c r="L46" s="76"/>
      <c r="M46" s="77"/>
      <c r="N46" s="77"/>
      <c r="O46" s="77"/>
      <c r="P46" s="77"/>
      <c r="Q46" s="77"/>
      <c r="R46" s="77"/>
      <c r="S46" s="78"/>
      <c r="T46" s="78"/>
      <c r="U46" s="78"/>
      <c r="V46" s="78"/>
      <c r="W46" s="25">
        <v>48</v>
      </c>
      <c r="X46" s="25">
        <v>49</v>
      </c>
      <c r="Y46" s="32">
        <v>41</v>
      </c>
      <c r="Z46" s="32">
        <v>30</v>
      </c>
      <c r="AA46" s="32">
        <v>19</v>
      </c>
      <c r="AB46" s="21">
        <f t="shared" si="17"/>
        <v>-0.60416666666666663</v>
      </c>
      <c r="AC46" s="33">
        <f t="shared" si="15"/>
        <v>7.3929961089494164E-2</v>
      </c>
      <c r="AD46" s="109"/>
      <c r="AE46" s="109"/>
      <c r="AF46" s="110" t="e">
        <f t="shared" si="16"/>
        <v>#DIV/0!</v>
      </c>
      <c r="AG46" s="109"/>
      <c r="AH46" s="82">
        <v>3</v>
      </c>
    </row>
    <row r="47" spans="1:34" s="11" customFormat="1" x14ac:dyDescent="0.15">
      <c r="A47" s="67"/>
      <c r="B47" s="67" t="s">
        <v>0</v>
      </c>
      <c r="C47" s="67" t="s">
        <v>0</v>
      </c>
      <c r="D47" s="67" t="s">
        <v>0</v>
      </c>
      <c r="E47" s="67" t="s">
        <v>26</v>
      </c>
      <c r="F47" s="67" t="s">
        <v>6</v>
      </c>
      <c r="G47" s="68">
        <v>1025518.51</v>
      </c>
      <c r="H47" s="69">
        <v>-398750.57</v>
      </c>
      <c r="I47" s="69">
        <v>626767.93999999994</v>
      </c>
      <c r="J47" s="69">
        <f>1504475.73+48746.45</f>
        <v>1553222.18</v>
      </c>
      <c r="K47" s="69">
        <f>-473866.03465495-12575.7</f>
        <v>-486441.73465495004</v>
      </c>
      <c r="L47" s="69">
        <f>+J47+K47</f>
        <v>1066780.44534505</v>
      </c>
      <c r="M47" s="70">
        <v>-947391.86</v>
      </c>
      <c r="N47" s="70">
        <f>-57999.9-14462.84</f>
        <v>-72462.740000000005</v>
      </c>
      <c r="O47" s="70"/>
      <c r="P47" s="70">
        <v>-20116.099999999999</v>
      </c>
      <c r="Q47" s="70"/>
      <c r="R47" s="70">
        <f>+Q47+M47</f>
        <v>-947391.86</v>
      </c>
      <c r="S47" s="104">
        <f>+I47+R47</f>
        <v>-320623.92000000004</v>
      </c>
      <c r="T47" s="104">
        <f>+L47+R47</f>
        <v>119388.58534504997</v>
      </c>
      <c r="U47" s="104">
        <f>+I47+M47</f>
        <v>-320623.92000000004</v>
      </c>
      <c r="V47" s="104">
        <f>+L47+M47</f>
        <v>119388.58534504997</v>
      </c>
      <c r="W47" s="71">
        <f>SUM(W48:W50)</f>
        <v>271</v>
      </c>
      <c r="X47" s="71">
        <f t="shared" ref="X47:AA47" si="18">SUM(X48:X50)</f>
        <v>236</v>
      </c>
      <c r="Y47" s="71">
        <f t="shared" si="18"/>
        <v>212</v>
      </c>
      <c r="Z47" s="71">
        <f t="shared" si="18"/>
        <v>173</v>
      </c>
      <c r="AA47" s="71">
        <f t="shared" si="18"/>
        <v>157</v>
      </c>
      <c r="AB47" s="72">
        <f>+(AA47-W47)/W47</f>
        <v>-0.42066420664206644</v>
      </c>
      <c r="AD47" s="107"/>
      <c r="AE47" s="107"/>
      <c r="AF47" s="108"/>
      <c r="AG47" s="107"/>
      <c r="AH47" s="81">
        <v>1</v>
      </c>
    </row>
    <row r="48" spans="1:34" x14ac:dyDescent="0.15">
      <c r="A48" s="73" t="s">
        <v>62</v>
      </c>
      <c r="B48" s="73" t="s">
        <v>63</v>
      </c>
      <c r="C48" s="73" t="s">
        <v>78</v>
      </c>
      <c r="D48" s="73" t="s">
        <v>79</v>
      </c>
      <c r="E48" s="73" t="s">
        <v>26</v>
      </c>
      <c r="F48" s="73" t="s">
        <v>6</v>
      </c>
      <c r="G48" s="74">
        <v>313662.78000000003</v>
      </c>
      <c r="H48" s="75">
        <v>-225283.76</v>
      </c>
      <c r="I48" s="75">
        <v>88379.02</v>
      </c>
      <c r="J48" s="76"/>
      <c r="K48" s="76"/>
      <c r="L48" s="76"/>
      <c r="M48" s="77"/>
      <c r="N48" s="77"/>
      <c r="O48" s="77"/>
      <c r="P48" s="77"/>
      <c r="Q48" s="77"/>
      <c r="R48" s="77"/>
      <c r="S48" s="78"/>
      <c r="T48" s="78"/>
      <c r="U48" s="78"/>
      <c r="V48" s="78"/>
      <c r="W48" s="32">
        <v>67</v>
      </c>
      <c r="X48" s="32">
        <v>67</v>
      </c>
      <c r="Y48" s="32">
        <v>57</v>
      </c>
      <c r="Z48" s="32">
        <v>50</v>
      </c>
      <c r="AA48" s="32">
        <v>51</v>
      </c>
      <c r="AB48" s="21">
        <f t="shared" ref="AB48:AB50" si="19">+(AA48-W48)/W48</f>
        <v>-0.23880597014925373</v>
      </c>
      <c r="AC48" s="33">
        <f>+AA48/AA47</f>
        <v>0.32484076433121017</v>
      </c>
      <c r="AD48" s="109"/>
      <c r="AE48" s="109"/>
      <c r="AF48" s="110">
        <f>+AB48/AB47</f>
        <v>0.56768787640743645</v>
      </c>
      <c r="AG48" s="109"/>
      <c r="AH48" s="83">
        <v>1</v>
      </c>
    </row>
    <row r="49" spans="1:34" x14ac:dyDescent="0.15">
      <c r="A49" s="73" t="s">
        <v>62</v>
      </c>
      <c r="B49" s="73" t="s">
        <v>195</v>
      </c>
      <c r="C49" s="73" t="s">
        <v>231</v>
      </c>
      <c r="D49" s="73" t="s">
        <v>232</v>
      </c>
      <c r="E49" s="73" t="s">
        <v>26</v>
      </c>
      <c r="F49" s="73" t="s">
        <v>6</v>
      </c>
      <c r="G49" s="74">
        <v>202429.5</v>
      </c>
      <c r="H49" s="75">
        <v>-44309.06</v>
      </c>
      <c r="I49" s="75">
        <v>158120.44</v>
      </c>
      <c r="J49" s="76"/>
      <c r="K49" s="76"/>
      <c r="L49" s="76"/>
      <c r="M49" s="77"/>
      <c r="N49" s="77"/>
      <c r="O49" s="77"/>
      <c r="P49" s="77"/>
      <c r="Q49" s="77"/>
      <c r="R49" s="77"/>
      <c r="S49" s="78"/>
      <c r="T49" s="78"/>
      <c r="U49" s="78"/>
      <c r="V49" s="78"/>
      <c r="W49" s="25">
        <v>80</v>
      </c>
      <c r="X49" s="25">
        <v>58</v>
      </c>
      <c r="Y49" s="25">
        <v>52</v>
      </c>
      <c r="Z49" s="32">
        <v>40</v>
      </c>
      <c r="AA49" s="32">
        <v>34</v>
      </c>
      <c r="AB49" s="21">
        <f t="shared" si="19"/>
        <v>-0.57499999999999996</v>
      </c>
      <c r="AC49" s="33">
        <f>+AA49/AA47</f>
        <v>0.21656050955414013</v>
      </c>
      <c r="AD49" s="109"/>
      <c r="AE49" s="109"/>
      <c r="AF49" s="110">
        <f>+AB49/AB47</f>
        <v>1.3668859649122804</v>
      </c>
      <c r="AG49" s="109"/>
      <c r="AH49" s="83">
        <v>1</v>
      </c>
    </row>
    <row r="50" spans="1:34" x14ac:dyDescent="0.15">
      <c r="A50" s="73" t="s">
        <v>321</v>
      </c>
      <c r="B50" s="73" t="s">
        <v>322</v>
      </c>
      <c r="C50" s="73" t="s">
        <v>357</v>
      </c>
      <c r="D50" s="73" t="s">
        <v>358</v>
      </c>
      <c r="E50" s="73" t="s">
        <v>26</v>
      </c>
      <c r="F50" s="73" t="s">
        <v>6</v>
      </c>
      <c r="G50" s="74">
        <v>509426.23</v>
      </c>
      <c r="H50" s="75">
        <v>-129157.75</v>
      </c>
      <c r="I50" s="75">
        <v>380268.48</v>
      </c>
      <c r="J50" s="76"/>
      <c r="K50" s="76"/>
      <c r="L50" s="76"/>
      <c r="M50" s="77"/>
      <c r="N50" s="77"/>
      <c r="O50" s="77"/>
      <c r="P50" s="77"/>
      <c r="Q50" s="77"/>
      <c r="R50" s="77"/>
      <c r="S50" s="78"/>
      <c r="T50" s="78"/>
      <c r="U50" s="78"/>
      <c r="V50" s="78"/>
      <c r="W50" s="25">
        <v>124</v>
      </c>
      <c r="X50" s="25">
        <v>111</v>
      </c>
      <c r="Y50" s="32">
        <v>103</v>
      </c>
      <c r="Z50" s="32">
        <v>83</v>
      </c>
      <c r="AA50" s="32">
        <v>72</v>
      </c>
      <c r="AB50" s="21">
        <f t="shared" si="19"/>
        <v>-0.41935483870967744</v>
      </c>
      <c r="AC50" s="33">
        <f>+AA50/AA47</f>
        <v>0.45859872611464969</v>
      </c>
      <c r="AD50" s="109"/>
      <c r="AE50" s="109"/>
      <c r="AF50" s="110">
        <f>+AB50/AB47</f>
        <v>0.99688737973967179</v>
      </c>
      <c r="AG50" s="109"/>
      <c r="AH50" s="83">
        <v>2</v>
      </c>
    </row>
    <row r="51" spans="1:34" s="11" customFormat="1" x14ac:dyDescent="0.15">
      <c r="A51" s="67"/>
      <c r="B51" s="67" t="s">
        <v>0</v>
      </c>
      <c r="C51" s="67" t="s">
        <v>0</v>
      </c>
      <c r="D51" s="67" t="s">
        <v>0</v>
      </c>
      <c r="E51" s="67" t="s">
        <v>29</v>
      </c>
      <c r="F51" s="67" t="s">
        <v>6</v>
      </c>
      <c r="G51" s="68">
        <v>1146097.1100000001</v>
      </c>
      <c r="H51" s="69">
        <v>-370843.59749999997</v>
      </c>
      <c r="I51" s="69">
        <v>775253.51249999995</v>
      </c>
      <c r="J51" s="69">
        <f>3200621+2708749.43</f>
        <v>5909370.4299999997</v>
      </c>
      <c r="K51" s="69">
        <f>-905686-566019.3</f>
        <v>-1471705.3</v>
      </c>
      <c r="L51" s="69">
        <f>+J51+K51</f>
        <v>4437665.13</v>
      </c>
      <c r="M51" s="70">
        <f>-1988896.05-N51</f>
        <v>-1967263.6500000001</v>
      </c>
      <c r="N51" s="70">
        <v>-21632.400000000001</v>
      </c>
      <c r="O51" s="70"/>
      <c r="P51" s="70"/>
      <c r="Q51" s="70">
        <v>-1072.52</v>
      </c>
      <c r="R51" s="70">
        <f>+Q51+M51</f>
        <v>-1968336.1700000002</v>
      </c>
      <c r="S51" s="104">
        <f>+I51+R51</f>
        <v>-1193082.6575000002</v>
      </c>
      <c r="T51" s="104">
        <f>+L51+R51</f>
        <v>2469328.96</v>
      </c>
      <c r="U51" s="104">
        <f>+I51+M51</f>
        <v>-1192010.1375000002</v>
      </c>
      <c r="V51" s="104">
        <f>+L51+M51</f>
        <v>2470401.4799999995</v>
      </c>
      <c r="W51" s="71">
        <f>SUM(W52:W55)</f>
        <v>291</v>
      </c>
      <c r="X51" s="71">
        <f t="shared" ref="X51:AA51" si="20">SUM(X52:X55)</f>
        <v>283</v>
      </c>
      <c r="Y51" s="71">
        <f t="shared" si="20"/>
        <v>249</v>
      </c>
      <c r="Z51" s="71">
        <f t="shared" si="20"/>
        <v>217</v>
      </c>
      <c r="AA51" s="71">
        <f t="shared" si="20"/>
        <v>212</v>
      </c>
      <c r="AB51" s="72">
        <f>+(AA51-W51)/W51</f>
        <v>-0.27147766323024053</v>
      </c>
      <c r="AD51" s="107"/>
      <c r="AE51" s="107"/>
      <c r="AF51" s="108"/>
      <c r="AG51" s="107"/>
      <c r="AH51" s="81">
        <v>1</v>
      </c>
    </row>
    <row r="52" spans="1:34" x14ac:dyDescent="0.15">
      <c r="A52" s="73" t="s">
        <v>62</v>
      </c>
      <c r="B52" s="73" t="s">
        <v>63</v>
      </c>
      <c r="C52" s="73" t="s">
        <v>87</v>
      </c>
      <c r="D52" s="73" t="s">
        <v>88</v>
      </c>
      <c r="E52" s="73" t="s">
        <v>29</v>
      </c>
      <c r="F52" s="73" t="s">
        <v>6</v>
      </c>
      <c r="G52" s="74">
        <v>62311</v>
      </c>
      <c r="H52" s="75">
        <v>-36578.199999999997</v>
      </c>
      <c r="I52" s="75">
        <v>25732.799999999999</v>
      </c>
      <c r="J52" s="76"/>
      <c r="K52" s="76"/>
      <c r="L52" s="76"/>
      <c r="M52" s="77"/>
      <c r="N52" s="77"/>
      <c r="O52" s="77"/>
      <c r="P52" s="77"/>
      <c r="Q52" s="77"/>
      <c r="R52" s="77"/>
      <c r="S52" s="78"/>
      <c r="T52" s="78"/>
      <c r="U52" s="78"/>
      <c r="V52" s="78"/>
      <c r="W52" s="32">
        <v>14</v>
      </c>
      <c r="X52" s="32">
        <v>17</v>
      </c>
      <c r="Y52" s="32">
        <v>16</v>
      </c>
      <c r="Z52" s="32">
        <v>14</v>
      </c>
      <c r="AA52" s="32">
        <v>17</v>
      </c>
      <c r="AB52" s="21">
        <f t="shared" ref="AB52:AB55" si="21">+(AA52-W52)/W52</f>
        <v>0.21428571428571427</v>
      </c>
      <c r="AC52" s="33">
        <f>+AA52/AA51</f>
        <v>8.0188679245283015E-2</v>
      </c>
      <c r="AD52" s="109"/>
      <c r="AE52" s="109"/>
      <c r="AF52" s="110">
        <f>+AB52/AB51</f>
        <v>-0.78933092224231471</v>
      </c>
      <c r="AG52" s="109"/>
      <c r="AH52" s="82">
        <v>1</v>
      </c>
    </row>
    <row r="53" spans="1:34" x14ac:dyDescent="0.15">
      <c r="A53" s="73" t="s">
        <v>62</v>
      </c>
      <c r="B53" s="73" t="s">
        <v>195</v>
      </c>
      <c r="C53" s="73" t="s">
        <v>223</v>
      </c>
      <c r="D53" s="73" t="s">
        <v>224</v>
      </c>
      <c r="E53" s="73" t="s">
        <v>29</v>
      </c>
      <c r="F53" s="73" t="s">
        <v>6</v>
      </c>
      <c r="G53" s="74">
        <v>163697.70000000001</v>
      </c>
      <c r="H53" s="75">
        <v>-119039.4</v>
      </c>
      <c r="I53" s="75">
        <v>44658.3</v>
      </c>
      <c r="J53" s="76"/>
      <c r="K53" s="76"/>
      <c r="L53" s="76"/>
      <c r="M53" s="77"/>
      <c r="N53" s="77"/>
      <c r="O53" s="77"/>
      <c r="P53" s="77"/>
      <c r="Q53" s="77"/>
      <c r="R53" s="77"/>
      <c r="S53" s="78"/>
      <c r="T53" s="78"/>
      <c r="U53" s="78"/>
      <c r="V53" s="78"/>
      <c r="W53" s="25">
        <v>42</v>
      </c>
      <c r="X53" s="25">
        <v>37</v>
      </c>
      <c r="Y53" s="25">
        <v>29</v>
      </c>
      <c r="Z53" s="32">
        <v>24</v>
      </c>
      <c r="AA53" s="32">
        <v>25</v>
      </c>
      <c r="AB53" s="21">
        <f t="shared" si="21"/>
        <v>-0.40476190476190477</v>
      </c>
      <c r="AC53" s="33">
        <f>+AA53/AA51</f>
        <v>0.11792452830188679</v>
      </c>
      <c r="AD53" s="109"/>
      <c r="AE53" s="109"/>
      <c r="AF53" s="110">
        <f>+AB53/AB51</f>
        <v>1.4909584086799279</v>
      </c>
      <c r="AG53" s="109"/>
      <c r="AH53" s="82">
        <v>1</v>
      </c>
    </row>
    <row r="54" spans="1:34" x14ac:dyDescent="0.15">
      <c r="A54" s="73" t="s">
        <v>62</v>
      </c>
      <c r="B54" s="73" t="s">
        <v>195</v>
      </c>
      <c r="C54" s="73" t="s">
        <v>237</v>
      </c>
      <c r="D54" s="73" t="s">
        <v>238</v>
      </c>
      <c r="E54" s="73" t="s">
        <v>29</v>
      </c>
      <c r="F54" s="73" t="s">
        <v>6</v>
      </c>
      <c r="G54" s="74">
        <v>71702.8</v>
      </c>
      <c r="H54" s="75">
        <v>-26255.1</v>
      </c>
      <c r="I54" s="75">
        <v>45447.7</v>
      </c>
      <c r="J54" s="76"/>
      <c r="K54" s="76"/>
      <c r="L54" s="76"/>
      <c r="M54" s="77"/>
      <c r="N54" s="77"/>
      <c r="O54" s="77"/>
      <c r="P54" s="77"/>
      <c r="Q54" s="77"/>
      <c r="R54" s="77"/>
      <c r="S54" s="78"/>
      <c r="T54" s="78"/>
      <c r="U54" s="78"/>
      <c r="V54" s="78"/>
      <c r="W54" s="25">
        <v>17</v>
      </c>
      <c r="X54" s="25">
        <v>17</v>
      </c>
      <c r="Y54" s="25">
        <v>17</v>
      </c>
      <c r="Z54" s="32">
        <v>18</v>
      </c>
      <c r="AA54" s="32">
        <v>19</v>
      </c>
      <c r="AB54" s="21">
        <f t="shared" si="21"/>
        <v>0.11764705882352941</v>
      </c>
      <c r="AC54" s="33">
        <f>+AA54/AA51</f>
        <v>8.9622641509433956E-2</v>
      </c>
      <c r="AD54" s="109"/>
      <c r="AE54" s="109"/>
      <c r="AF54" s="110">
        <f>+AB54/AB51</f>
        <v>-0.43335815338793748</v>
      </c>
      <c r="AG54" s="109"/>
      <c r="AH54" s="82">
        <v>1</v>
      </c>
    </row>
    <row r="55" spans="1:34" x14ac:dyDescent="0.15">
      <c r="A55" s="73" t="s">
        <v>321</v>
      </c>
      <c r="B55" s="73" t="s">
        <v>322</v>
      </c>
      <c r="C55" s="73" t="s">
        <v>363</v>
      </c>
      <c r="D55" s="73" t="s">
        <v>364</v>
      </c>
      <c r="E55" s="73" t="s">
        <v>29</v>
      </c>
      <c r="F55" s="73" t="s">
        <v>6</v>
      </c>
      <c r="G55" s="74">
        <v>848385.61</v>
      </c>
      <c r="H55" s="75">
        <v>-188970.89749999999</v>
      </c>
      <c r="I55" s="75">
        <v>659414.71250000002</v>
      </c>
      <c r="J55" s="76"/>
      <c r="K55" s="76"/>
      <c r="L55" s="76"/>
      <c r="M55" s="77"/>
      <c r="N55" s="77"/>
      <c r="O55" s="77"/>
      <c r="P55" s="77"/>
      <c r="Q55" s="77"/>
      <c r="R55" s="77"/>
      <c r="S55" s="78"/>
      <c r="T55" s="78"/>
      <c r="U55" s="78"/>
      <c r="V55" s="78"/>
      <c r="W55" s="25">
        <v>218</v>
      </c>
      <c r="X55" s="25">
        <v>212</v>
      </c>
      <c r="Y55" s="32">
        <v>187</v>
      </c>
      <c r="Z55" s="32">
        <v>161</v>
      </c>
      <c r="AA55" s="32">
        <v>151</v>
      </c>
      <c r="AB55" s="21">
        <f t="shared" si="21"/>
        <v>-0.30733944954128439</v>
      </c>
      <c r="AC55" s="33">
        <f>+AA55/AA51</f>
        <v>0.71226415094339623</v>
      </c>
      <c r="AD55" s="109"/>
      <c r="AE55" s="109"/>
      <c r="AF55" s="110">
        <f>+AB55/AB51</f>
        <v>1.1320984786900476</v>
      </c>
      <c r="AG55" s="109"/>
      <c r="AH55" s="82">
        <v>2</v>
      </c>
    </row>
    <row r="56" spans="1:34" s="11" customFormat="1" x14ac:dyDescent="0.15">
      <c r="A56" s="67"/>
      <c r="B56" s="67" t="s">
        <v>0</v>
      </c>
      <c r="C56" s="67" t="s">
        <v>0</v>
      </c>
      <c r="D56" s="67" t="s">
        <v>0</v>
      </c>
      <c r="E56" s="67" t="s">
        <v>31</v>
      </c>
      <c r="F56" s="67" t="s">
        <v>6</v>
      </c>
      <c r="G56" s="68">
        <v>231108.95</v>
      </c>
      <c r="H56" s="69">
        <v>-24867.7</v>
      </c>
      <c r="I56" s="69">
        <v>206241.25</v>
      </c>
      <c r="J56" s="69">
        <v>2531182.91</v>
      </c>
      <c r="K56" s="69">
        <v>-424238.86250774999</v>
      </c>
      <c r="L56" s="69">
        <f>+J56+K56</f>
        <v>2106944.0474922503</v>
      </c>
      <c r="M56" s="70">
        <v>-1217430.8500000001</v>
      </c>
      <c r="N56" s="70">
        <v>-52031.99</v>
      </c>
      <c r="O56" s="70"/>
      <c r="P56" s="70"/>
      <c r="Q56" s="70"/>
      <c r="R56" s="70">
        <f>+Q56+M56</f>
        <v>-1217430.8500000001</v>
      </c>
      <c r="S56" s="104">
        <f>+I56+R56</f>
        <v>-1011189.6000000001</v>
      </c>
      <c r="T56" s="104">
        <f>+L56+R56</f>
        <v>889513.19749225024</v>
      </c>
      <c r="U56" s="104">
        <f>+I56+M56</f>
        <v>-1011189.6000000001</v>
      </c>
      <c r="V56" s="104">
        <f>+L56+M56</f>
        <v>889513.19749225024</v>
      </c>
      <c r="W56" s="71">
        <f>SUM(W57:W58)</f>
        <v>153</v>
      </c>
      <c r="X56" s="71">
        <f t="shared" ref="X56:AA56" si="22">SUM(X57:X58)</f>
        <v>130</v>
      </c>
      <c r="Y56" s="71">
        <f t="shared" si="22"/>
        <v>112</v>
      </c>
      <c r="Z56" s="71">
        <f t="shared" si="22"/>
        <v>90</v>
      </c>
      <c r="AA56" s="71">
        <f t="shared" si="22"/>
        <v>84</v>
      </c>
      <c r="AB56" s="72">
        <f>+(AA56-W56)/W56</f>
        <v>-0.45098039215686275</v>
      </c>
      <c r="AD56" s="107"/>
      <c r="AE56" s="107"/>
      <c r="AF56" s="108"/>
      <c r="AG56" s="107"/>
      <c r="AH56" s="81">
        <v>1</v>
      </c>
    </row>
    <row r="57" spans="1:34" x14ac:dyDescent="0.15">
      <c r="A57" s="73" t="s">
        <v>62</v>
      </c>
      <c r="B57" s="73" t="s">
        <v>195</v>
      </c>
      <c r="C57" s="73" t="s">
        <v>291</v>
      </c>
      <c r="D57" s="73" t="s">
        <v>292</v>
      </c>
      <c r="E57" s="73" t="s">
        <v>31</v>
      </c>
      <c r="F57" s="73" t="s">
        <v>6</v>
      </c>
      <c r="G57" s="74">
        <v>15126.4</v>
      </c>
      <c r="H57" s="75"/>
      <c r="I57" s="75">
        <v>15126.4</v>
      </c>
      <c r="J57" s="76"/>
      <c r="K57" s="76"/>
      <c r="L57" s="76"/>
      <c r="M57" s="77"/>
      <c r="N57" s="77"/>
      <c r="O57" s="77"/>
      <c r="P57" s="77"/>
      <c r="Q57" s="77"/>
      <c r="R57" s="77"/>
      <c r="S57" s="78"/>
      <c r="T57" s="78"/>
      <c r="U57" s="78"/>
      <c r="V57" s="78"/>
      <c r="W57" s="25">
        <v>24</v>
      </c>
      <c r="X57" s="25">
        <v>21</v>
      </c>
      <c r="Y57" s="25">
        <v>10</v>
      </c>
      <c r="Z57" s="32">
        <v>7</v>
      </c>
      <c r="AA57" s="32">
        <v>6</v>
      </c>
      <c r="AB57" s="21">
        <f t="shared" ref="AB57:AB58" si="23">+(AA57-W57)/W57</f>
        <v>-0.75</v>
      </c>
      <c r="AC57" s="33">
        <f>+AA57/AA56</f>
        <v>7.1428571428571425E-2</v>
      </c>
      <c r="AD57" s="109"/>
      <c r="AE57" s="109"/>
      <c r="AF57" s="110">
        <f>+AB57/AB56</f>
        <v>1.6630434782608696</v>
      </c>
      <c r="AG57" s="109"/>
      <c r="AH57" s="82">
        <v>2</v>
      </c>
    </row>
    <row r="58" spans="1:34" x14ac:dyDescent="0.15">
      <c r="A58" s="73" t="s">
        <v>321</v>
      </c>
      <c r="B58" s="73" t="s">
        <v>322</v>
      </c>
      <c r="C58" s="73" t="s">
        <v>389</v>
      </c>
      <c r="D58" s="73" t="s">
        <v>390</v>
      </c>
      <c r="E58" s="73" t="s">
        <v>31</v>
      </c>
      <c r="F58" s="73" t="s">
        <v>6</v>
      </c>
      <c r="G58" s="74">
        <v>215982.55</v>
      </c>
      <c r="H58" s="75">
        <v>-24867.7</v>
      </c>
      <c r="I58" s="75">
        <v>191114.85</v>
      </c>
      <c r="J58" s="76"/>
      <c r="K58" s="76"/>
      <c r="L58" s="76"/>
      <c r="M58" s="77"/>
      <c r="N58" s="77"/>
      <c r="O58" s="77"/>
      <c r="P58" s="77"/>
      <c r="Q58" s="77"/>
      <c r="R58" s="77"/>
      <c r="S58" s="78"/>
      <c r="T58" s="78"/>
      <c r="U58" s="78"/>
      <c r="V58" s="78"/>
      <c r="W58" s="25">
        <f>110+15+1+3</f>
        <v>129</v>
      </c>
      <c r="X58" s="25">
        <f>103+1+5</f>
        <v>109</v>
      </c>
      <c r="Y58" s="32">
        <v>102</v>
      </c>
      <c r="Z58" s="32">
        <v>83</v>
      </c>
      <c r="AA58" s="32">
        <v>78</v>
      </c>
      <c r="AB58" s="21">
        <f t="shared" si="23"/>
        <v>-0.39534883720930231</v>
      </c>
      <c r="AC58" s="33">
        <f>+AA58/AA56</f>
        <v>0.9285714285714286</v>
      </c>
      <c r="AD58" s="109"/>
      <c r="AE58" s="109"/>
      <c r="AF58" s="110">
        <f>+AB58/AB56</f>
        <v>0.87664307381193118</v>
      </c>
      <c r="AG58" s="109"/>
      <c r="AH58" s="82">
        <v>2</v>
      </c>
    </row>
    <row r="59" spans="1:34" s="11" customFormat="1" x14ac:dyDescent="0.15">
      <c r="A59" s="67"/>
      <c r="B59" s="67" t="s">
        <v>0</v>
      </c>
      <c r="C59" s="67" t="s">
        <v>0</v>
      </c>
      <c r="D59" s="67" t="s">
        <v>0</v>
      </c>
      <c r="E59" s="67" t="s">
        <v>34</v>
      </c>
      <c r="F59" s="67" t="s">
        <v>6</v>
      </c>
      <c r="G59" s="68">
        <v>821544.44</v>
      </c>
      <c r="H59" s="69">
        <v>-172002.34</v>
      </c>
      <c r="I59" s="69">
        <v>649542.1</v>
      </c>
      <c r="J59" s="69">
        <f>2213646.335+165403.47</f>
        <v>2379049.8050000002</v>
      </c>
      <c r="K59" s="69">
        <f>-344552.12600592-437-41795.73</f>
        <v>-386784.85600591998</v>
      </c>
      <c r="L59" s="69">
        <f>+J59+K59</f>
        <v>1992264.9489940801</v>
      </c>
      <c r="M59" s="70">
        <v>-1008266.39</v>
      </c>
      <c r="N59" s="70"/>
      <c r="O59" s="70">
        <v>-123302.44</v>
      </c>
      <c r="P59" s="70">
        <v>-400</v>
      </c>
      <c r="Q59" s="70">
        <f>-10000-66748.2</f>
        <v>-76748.2</v>
      </c>
      <c r="R59" s="70">
        <f>+Q59+M59</f>
        <v>-1085014.5900000001</v>
      </c>
      <c r="S59" s="104">
        <f>+I59+R59</f>
        <v>-435472.49000000011</v>
      </c>
      <c r="T59" s="104">
        <f>+L59+R59</f>
        <v>907250.35899407999</v>
      </c>
      <c r="U59" s="104">
        <f>+I59+M59</f>
        <v>-358724.29000000004</v>
      </c>
      <c r="V59" s="104">
        <f>+L59+M59</f>
        <v>983998.55899408006</v>
      </c>
      <c r="W59" s="71">
        <f>SUM(W60:W63)</f>
        <v>180</v>
      </c>
      <c r="X59" s="71">
        <f t="shared" ref="X59:AA59" si="24">SUM(X60:X63)</f>
        <v>187</v>
      </c>
      <c r="Y59" s="71">
        <f t="shared" si="24"/>
        <v>172</v>
      </c>
      <c r="Z59" s="71">
        <f t="shared" si="24"/>
        <v>179</v>
      </c>
      <c r="AA59" s="71">
        <f t="shared" si="24"/>
        <v>151</v>
      </c>
      <c r="AB59" s="72">
        <f>+(AA59-W59)/W59</f>
        <v>-0.16111111111111112</v>
      </c>
      <c r="AD59" s="107"/>
      <c r="AE59" s="107"/>
      <c r="AF59" s="108"/>
      <c r="AG59" s="107"/>
      <c r="AH59" s="81">
        <v>1</v>
      </c>
    </row>
    <row r="60" spans="1:34" x14ac:dyDescent="0.15">
      <c r="A60" s="73" t="s">
        <v>62</v>
      </c>
      <c r="B60" s="73" t="s">
        <v>63</v>
      </c>
      <c r="C60" s="73" t="s">
        <v>91</v>
      </c>
      <c r="D60" s="67" t="s">
        <v>92</v>
      </c>
      <c r="E60" s="73" t="s">
        <v>34</v>
      </c>
      <c r="F60" s="73" t="s">
        <v>6</v>
      </c>
      <c r="G60" s="74">
        <v>38678.400000000001</v>
      </c>
      <c r="H60" s="75">
        <v>-23978.400000000001</v>
      </c>
      <c r="I60" s="75">
        <v>14700</v>
      </c>
      <c r="J60" s="76"/>
      <c r="K60" s="76"/>
      <c r="L60" s="76"/>
      <c r="M60" s="77"/>
      <c r="N60" s="77"/>
      <c r="O60" s="77"/>
      <c r="P60" s="77"/>
      <c r="Q60" s="77"/>
      <c r="R60" s="77"/>
      <c r="S60" s="78"/>
      <c r="T60" s="78"/>
      <c r="U60" s="78"/>
      <c r="V60" s="78"/>
      <c r="W60" s="32">
        <v>16</v>
      </c>
      <c r="X60" s="32">
        <v>13</v>
      </c>
      <c r="Y60" s="32">
        <v>12</v>
      </c>
      <c r="Z60" s="32">
        <v>12</v>
      </c>
      <c r="AA60" s="32">
        <v>15</v>
      </c>
      <c r="AB60" s="21">
        <f t="shared" ref="AB60:AB69" si="25">+(AA60-W60)/W60</f>
        <v>-6.25E-2</v>
      </c>
      <c r="AC60" s="33">
        <f>+AA60/AA59</f>
        <v>9.9337748344370855E-2</v>
      </c>
      <c r="AD60" s="109"/>
      <c r="AE60" s="109"/>
      <c r="AF60" s="110">
        <f>+AB60/AB59</f>
        <v>0.38793103448275862</v>
      </c>
      <c r="AG60" s="109"/>
      <c r="AH60" s="82">
        <v>1</v>
      </c>
    </row>
    <row r="61" spans="1:34" x14ac:dyDescent="0.15">
      <c r="A61" s="73" t="s">
        <v>62</v>
      </c>
      <c r="B61" s="73" t="s">
        <v>63</v>
      </c>
      <c r="C61" s="73" t="s">
        <v>111</v>
      </c>
      <c r="D61" s="73" t="s">
        <v>112</v>
      </c>
      <c r="E61" s="73" t="s">
        <v>34</v>
      </c>
      <c r="F61" s="73" t="s">
        <v>6</v>
      </c>
      <c r="G61" s="74">
        <v>5566.4</v>
      </c>
      <c r="H61" s="75"/>
      <c r="I61" s="75">
        <v>5566.4</v>
      </c>
      <c r="J61" s="76"/>
      <c r="K61" s="76"/>
      <c r="L61" s="76"/>
      <c r="M61" s="77"/>
      <c r="N61" s="77"/>
      <c r="O61" s="77"/>
      <c r="P61" s="77"/>
      <c r="Q61" s="77"/>
      <c r="R61" s="77"/>
      <c r="S61" s="78"/>
      <c r="T61" s="78"/>
      <c r="U61" s="78"/>
      <c r="V61" s="78"/>
      <c r="W61" s="32">
        <v>11</v>
      </c>
      <c r="X61" s="32">
        <v>8</v>
      </c>
      <c r="Y61" s="32">
        <v>6</v>
      </c>
      <c r="Z61" s="32">
        <v>5</v>
      </c>
      <c r="AA61" s="32">
        <v>2</v>
      </c>
      <c r="AB61" s="21">
        <f t="shared" si="25"/>
        <v>-0.81818181818181823</v>
      </c>
      <c r="AC61" s="33">
        <f>+AA61/AA59</f>
        <v>1.3245033112582781E-2</v>
      </c>
      <c r="AD61" s="109"/>
      <c r="AE61" s="109"/>
      <c r="AF61" s="110">
        <f>+AB61/AB59</f>
        <v>5.0783699059561132</v>
      </c>
      <c r="AG61" s="109"/>
      <c r="AH61" s="82">
        <v>3</v>
      </c>
    </row>
    <row r="62" spans="1:34" x14ac:dyDescent="0.15">
      <c r="A62" s="73" t="s">
        <v>62</v>
      </c>
      <c r="B62" s="73" t="s">
        <v>195</v>
      </c>
      <c r="C62" s="73" t="s">
        <v>248</v>
      </c>
      <c r="D62" s="73" t="s">
        <v>249</v>
      </c>
      <c r="E62" s="73" t="s">
        <v>34</v>
      </c>
      <c r="F62" s="73" t="s">
        <v>6</v>
      </c>
      <c r="G62" s="74">
        <v>138286.03</v>
      </c>
      <c r="H62" s="75">
        <v>-38949.599999999999</v>
      </c>
      <c r="I62" s="75">
        <v>99336.43</v>
      </c>
      <c r="J62" s="76"/>
      <c r="K62" s="76"/>
      <c r="L62" s="76"/>
      <c r="M62" s="77"/>
      <c r="N62" s="77"/>
      <c r="O62" s="77"/>
      <c r="P62" s="77"/>
      <c r="Q62" s="77"/>
      <c r="R62" s="77"/>
      <c r="S62" s="78"/>
      <c r="T62" s="78"/>
      <c r="U62" s="78"/>
      <c r="V62" s="78"/>
      <c r="W62" s="25">
        <v>34</v>
      </c>
      <c r="X62" s="25">
        <v>34</v>
      </c>
      <c r="Y62" s="25">
        <v>29</v>
      </c>
      <c r="Z62" s="32">
        <v>32</v>
      </c>
      <c r="AA62" s="32">
        <v>28</v>
      </c>
      <c r="AB62" s="21">
        <f t="shared" si="25"/>
        <v>-0.17647058823529413</v>
      </c>
      <c r="AC62" s="33">
        <f>+AA62/AA59</f>
        <v>0.18543046357615894</v>
      </c>
      <c r="AD62" s="109"/>
      <c r="AE62" s="109"/>
      <c r="AF62" s="110">
        <f>+AB62/AB59</f>
        <v>1.0953346855983772</v>
      </c>
      <c r="AG62" s="109"/>
      <c r="AH62" s="82">
        <v>1</v>
      </c>
    </row>
    <row r="63" spans="1:34" x14ac:dyDescent="0.15">
      <c r="A63" s="73" t="s">
        <v>321</v>
      </c>
      <c r="B63" s="73" t="s">
        <v>322</v>
      </c>
      <c r="C63" s="73" t="s">
        <v>383</v>
      </c>
      <c r="D63" s="73" t="s">
        <v>384</v>
      </c>
      <c r="E63" s="73" t="s">
        <v>34</v>
      </c>
      <c r="F63" s="73" t="s">
        <v>6</v>
      </c>
      <c r="G63" s="74">
        <v>639013.61</v>
      </c>
      <c r="H63" s="75">
        <v>-109074.34</v>
      </c>
      <c r="I63" s="75">
        <v>529939.27</v>
      </c>
      <c r="J63" s="76"/>
      <c r="K63" s="76"/>
      <c r="L63" s="76"/>
      <c r="M63" s="77"/>
      <c r="N63" s="77"/>
      <c r="O63" s="77"/>
      <c r="P63" s="77"/>
      <c r="Q63" s="77"/>
      <c r="R63" s="77"/>
      <c r="S63" s="78"/>
      <c r="T63" s="78"/>
      <c r="U63" s="78"/>
      <c r="V63" s="78"/>
      <c r="W63" s="25">
        <v>119</v>
      </c>
      <c r="X63" s="25">
        <v>132</v>
      </c>
      <c r="Y63" s="32">
        <v>125</v>
      </c>
      <c r="Z63" s="32">
        <v>130</v>
      </c>
      <c r="AA63" s="32">
        <v>106</v>
      </c>
      <c r="AB63" s="21">
        <f t="shared" si="25"/>
        <v>-0.1092436974789916</v>
      </c>
      <c r="AC63" s="33">
        <f>+AA63/AA59</f>
        <v>0.70198675496688745</v>
      </c>
      <c r="AD63" s="109"/>
      <c r="AE63" s="109"/>
      <c r="AF63" s="110">
        <f>+AB63/AB59</f>
        <v>0.67806432917994774</v>
      </c>
      <c r="AG63" s="109"/>
      <c r="AH63" s="82">
        <v>1</v>
      </c>
    </row>
    <row r="64" spans="1:34" s="11" customFormat="1" x14ac:dyDescent="0.15">
      <c r="A64" s="67"/>
      <c r="B64" s="67" t="s">
        <v>0</v>
      </c>
      <c r="C64" s="67" t="s">
        <v>0</v>
      </c>
      <c r="D64" s="67" t="s">
        <v>0</v>
      </c>
      <c r="E64" s="67" t="s">
        <v>35</v>
      </c>
      <c r="F64" s="67" t="s">
        <v>6</v>
      </c>
      <c r="G64" s="68">
        <f>SUM(G66:G69)</f>
        <v>1547967.45</v>
      </c>
      <c r="H64" s="69">
        <f>SUM(H66:H69)</f>
        <v>-549119.11499999999</v>
      </c>
      <c r="I64" s="69">
        <f>SUM(I66:I69)</f>
        <v>998848.33500000008</v>
      </c>
      <c r="J64" s="69">
        <f>4167900.08-3821643.08</f>
        <v>346257</v>
      </c>
      <c r="K64" s="69">
        <f>-818261.807613941-947+806333.16</f>
        <v>-12875.647613940993</v>
      </c>
      <c r="L64" s="69">
        <f>+J64+K64</f>
        <v>333381.35238605901</v>
      </c>
      <c r="M64" s="70"/>
      <c r="N64" s="70"/>
      <c r="O64" s="70"/>
      <c r="P64" s="70"/>
      <c r="Q64" s="70"/>
      <c r="R64" s="70"/>
      <c r="S64" s="104"/>
      <c r="T64" s="104"/>
      <c r="U64" s="104"/>
      <c r="V64" s="104"/>
      <c r="W64" s="71">
        <f>SUM(W65:W69)</f>
        <v>792</v>
      </c>
      <c r="X64" s="71">
        <f>SUM(X65:X69)</f>
        <v>679</v>
      </c>
      <c r="Y64" s="71">
        <f>SUM(Y65:Y69)</f>
        <v>635</v>
      </c>
      <c r="Z64" s="71">
        <f>SUM(Z65:Z69)</f>
        <v>613</v>
      </c>
      <c r="AA64" s="71">
        <f>SUM(AA65:AA69)</f>
        <v>596</v>
      </c>
      <c r="AB64" s="72">
        <f>+(AA64-W64)/W64</f>
        <v>-0.24747474747474749</v>
      </c>
      <c r="AD64" s="107"/>
      <c r="AE64" s="107"/>
      <c r="AF64" s="108"/>
      <c r="AG64" s="107"/>
      <c r="AH64" s="81"/>
    </row>
    <row r="65" spans="1:34" x14ac:dyDescent="0.15">
      <c r="A65" s="73" t="s">
        <v>62</v>
      </c>
      <c r="B65" s="73" t="s">
        <v>148</v>
      </c>
      <c r="C65" s="73" t="s">
        <v>482</v>
      </c>
      <c r="D65" s="73" t="s">
        <v>483</v>
      </c>
      <c r="E65" s="73" t="s">
        <v>35</v>
      </c>
      <c r="F65" s="73" t="s">
        <v>6</v>
      </c>
      <c r="G65" s="74"/>
      <c r="H65" s="75"/>
      <c r="I65" s="75"/>
      <c r="J65" s="76"/>
      <c r="K65" s="76"/>
      <c r="L65" s="76"/>
      <c r="M65" s="77"/>
      <c r="N65" s="77"/>
      <c r="O65" s="77"/>
      <c r="P65" s="77"/>
      <c r="Q65" s="77"/>
      <c r="R65" s="77"/>
      <c r="S65" s="78"/>
      <c r="T65" s="78"/>
      <c r="U65" s="78"/>
      <c r="V65" s="78"/>
      <c r="W65" s="32">
        <v>1</v>
      </c>
      <c r="X65" s="32">
        <v>1</v>
      </c>
      <c r="Y65" s="32">
        <v>1</v>
      </c>
      <c r="Z65" s="32">
        <v>2</v>
      </c>
      <c r="AA65" s="32">
        <v>1</v>
      </c>
      <c r="AB65" s="21">
        <f t="shared" si="25"/>
        <v>0</v>
      </c>
      <c r="AC65" s="33">
        <f>+AA65/AA64</f>
        <v>1.6778523489932886E-3</v>
      </c>
      <c r="AD65" s="109"/>
      <c r="AE65" s="109"/>
      <c r="AF65" s="110">
        <f>+AB65/AB63</f>
        <v>0</v>
      </c>
      <c r="AG65" s="109" t="s">
        <v>520</v>
      </c>
      <c r="AH65" s="82" t="s">
        <v>518</v>
      </c>
    </row>
    <row r="66" spans="1:34" x14ac:dyDescent="0.15">
      <c r="A66" s="73" t="s">
        <v>62</v>
      </c>
      <c r="B66" s="73" t="s">
        <v>148</v>
      </c>
      <c r="C66" s="73" t="s">
        <v>168</v>
      </c>
      <c r="D66" s="73" t="s">
        <v>169</v>
      </c>
      <c r="E66" s="73" t="s">
        <v>35</v>
      </c>
      <c r="F66" s="73" t="s">
        <v>6</v>
      </c>
      <c r="G66" s="74">
        <v>1192.8</v>
      </c>
      <c r="H66" s="75"/>
      <c r="I66" s="75">
        <v>1192.8</v>
      </c>
      <c r="J66" s="76"/>
      <c r="K66" s="76"/>
      <c r="L66" s="76"/>
      <c r="M66" s="77"/>
      <c r="N66" s="77"/>
      <c r="O66" s="77"/>
      <c r="P66" s="77"/>
      <c r="Q66" s="77"/>
      <c r="R66" s="77"/>
      <c r="S66" s="78"/>
      <c r="T66" s="78"/>
      <c r="U66" s="78"/>
      <c r="V66" s="78"/>
      <c r="W66" s="32">
        <v>8</v>
      </c>
      <c r="X66" s="32">
        <v>6</v>
      </c>
      <c r="Y66" s="32">
        <v>6</v>
      </c>
      <c r="Z66" s="32">
        <v>5</v>
      </c>
      <c r="AA66" s="32">
        <v>2</v>
      </c>
      <c r="AB66" s="21">
        <f t="shared" si="25"/>
        <v>-0.75</v>
      </c>
      <c r="AC66" s="33">
        <f>+AA66/AA64</f>
        <v>3.3557046979865771E-3</v>
      </c>
      <c r="AD66" s="109"/>
      <c r="AE66" s="109"/>
      <c r="AF66" s="110">
        <f>+AB66/AB63</f>
        <v>6.865384615384615</v>
      </c>
      <c r="AG66" s="109"/>
      <c r="AH66" s="82">
        <v>3</v>
      </c>
    </row>
    <row r="67" spans="1:34" x14ac:dyDescent="0.15">
      <c r="A67" s="73" t="s">
        <v>62</v>
      </c>
      <c r="B67" s="73" t="s">
        <v>195</v>
      </c>
      <c r="C67" s="73" t="s">
        <v>252</v>
      </c>
      <c r="D67" s="73" t="s">
        <v>253</v>
      </c>
      <c r="E67" s="73" t="s">
        <v>35</v>
      </c>
      <c r="F67" s="73" t="s">
        <v>6</v>
      </c>
      <c r="G67" s="74">
        <v>28495.4</v>
      </c>
      <c r="H67" s="75">
        <v>-3773.4</v>
      </c>
      <c r="I67" s="75">
        <v>24722</v>
      </c>
      <c r="J67" s="76"/>
      <c r="K67" s="76"/>
      <c r="L67" s="76"/>
      <c r="M67" s="77"/>
      <c r="N67" s="77"/>
      <c r="O67" s="77"/>
      <c r="P67" s="77"/>
      <c r="Q67" s="77"/>
      <c r="R67" s="77"/>
      <c r="S67" s="78"/>
      <c r="T67" s="78"/>
      <c r="U67" s="78"/>
      <c r="V67" s="78"/>
      <c r="W67" s="25">
        <v>12</v>
      </c>
      <c r="X67" s="25">
        <v>17</v>
      </c>
      <c r="Y67" s="25">
        <v>16</v>
      </c>
      <c r="Z67" s="32">
        <v>12</v>
      </c>
      <c r="AA67" s="32">
        <v>8</v>
      </c>
      <c r="AB67" s="21">
        <f t="shared" si="25"/>
        <v>-0.33333333333333331</v>
      </c>
      <c r="AC67" s="33">
        <f>+AA67/AA64</f>
        <v>1.3422818791946308E-2</v>
      </c>
      <c r="AD67" s="109"/>
      <c r="AE67" s="109"/>
      <c r="AF67" s="110">
        <f>+AB67/AB63</f>
        <v>3.0512820512820511</v>
      </c>
      <c r="AG67" s="109" t="s">
        <v>520</v>
      </c>
      <c r="AH67" s="82" t="s">
        <v>516</v>
      </c>
    </row>
    <row r="68" spans="1:34" x14ac:dyDescent="0.15">
      <c r="A68" s="73" t="s">
        <v>321</v>
      </c>
      <c r="B68" s="73" t="s">
        <v>322</v>
      </c>
      <c r="C68" s="73" t="s">
        <v>391</v>
      </c>
      <c r="D68" s="73" t="s">
        <v>392</v>
      </c>
      <c r="E68" s="73" t="s">
        <v>35</v>
      </c>
      <c r="F68" s="73" t="s">
        <v>6</v>
      </c>
      <c r="G68" s="74">
        <v>1513857.25</v>
      </c>
      <c r="H68" s="75">
        <v>-545345.71499999997</v>
      </c>
      <c r="I68" s="75">
        <v>968511.53500000003</v>
      </c>
      <c r="J68" s="76"/>
      <c r="K68" s="76"/>
      <c r="L68" s="76"/>
      <c r="M68" s="77"/>
      <c r="N68" s="77"/>
      <c r="O68" s="77"/>
      <c r="P68" s="77"/>
      <c r="Q68" s="77"/>
      <c r="R68" s="77"/>
      <c r="S68" s="78"/>
      <c r="T68" s="78"/>
      <c r="U68" s="78"/>
      <c r="V68" s="78"/>
      <c r="W68" s="25">
        <v>760</v>
      </c>
      <c r="X68" s="25">
        <v>648</v>
      </c>
      <c r="Y68" s="32">
        <v>607</v>
      </c>
      <c r="Z68" s="32">
        <v>593</v>
      </c>
      <c r="AA68" s="32">
        <v>581</v>
      </c>
      <c r="AB68" s="21">
        <f t="shared" si="25"/>
        <v>-0.23552631578947369</v>
      </c>
      <c r="AC68" s="33">
        <f>+AA68/AA64</f>
        <v>0.97483221476510062</v>
      </c>
      <c r="AD68" s="109"/>
      <c r="AE68" s="109"/>
      <c r="AF68" s="110">
        <f>+AB68/AB63</f>
        <v>2.1559716599190284</v>
      </c>
      <c r="AG68" s="109" t="s">
        <v>519</v>
      </c>
      <c r="AH68" s="82" t="s">
        <v>516</v>
      </c>
    </row>
    <row r="69" spans="1:34" x14ac:dyDescent="0.15">
      <c r="A69" s="73" t="s">
        <v>321</v>
      </c>
      <c r="B69" s="73" t="s">
        <v>322</v>
      </c>
      <c r="C69" s="73" t="s">
        <v>434</v>
      </c>
      <c r="D69" s="73" t="s">
        <v>435</v>
      </c>
      <c r="E69" s="73" t="s">
        <v>35</v>
      </c>
      <c r="F69" s="73" t="s">
        <v>6</v>
      </c>
      <c r="G69" s="74">
        <v>4422</v>
      </c>
      <c r="H69" s="75"/>
      <c r="I69" s="75">
        <v>4422</v>
      </c>
      <c r="J69" s="76"/>
      <c r="K69" s="76"/>
      <c r="L69" s="76"/>
      <c r="M69" s="77"/>
      <c r="N69" s="77"/>
      <c r="O69" s="77"/>
      <c r="P69" s="77"/>
      <c r="Q69" s="77"/>
      <c r="R69" s="77"/>
      <c r="S69" s="78"/>
      <c r="T69" s="78"/>
      <c r="U69" s="78"/>
      <c r="V69" s="78"/>
      <c r="W69" s="25">
        <v>11</v>
      </c>
      <c r="X69" s="25">
        <v>7</v>
      </c>
      <c r="Y69" s="32">
        <v>5</v>
      </c>
      <c r="Z69" s="32">
        <v>1</v>
      </c>
      <c r="AA69" s="32">
        <v>4</v>
      </c>
      <c r="AB69" s="21">
        <f t="shared" si="25"/>
        <v>-0.63636363636363635</v>
      </c>
      <c r="AC69" s="33">
        <f>+AA69/AA64</f>
        <v>6.7114093959731542E-3</v>
      </c>
      <c r="AD69" s="109"/>
      <c r="AE69" s="109"/>
      <c r="AF69" s="110">
        <f>+AB69/AB63</f>
        <v>5.825174825174825</v>
      </c>
      <c r="AG69" s="109" t="s">
        <v>520</v>
      </c>
      <c r="AH69" s="82" t="s">
        <v>516</v>
      </c>
    </row>
    <row r="70" spans="1:34" s="11" customFormat="1" x14ac:dyDescent="0.15">
      <c r="A70" s="67"/>
      <c r="B70" s="67" t="s">
        <v>0</v>
      </c>
      <c r="C70" s="67" t="s">
        <v>0</v>
      </c>
      <c r="D70" s="67" t="s">
        <v>0</v>
      </c>
      <c r="E70" s="67" t="s">
        <v>38</v>
      </c>
      <c r="F70" s="67" t="s">
        <v>6</v>
      </c>
      <c r="G70" s="68">
        <v>569231.94999999995</v>
      </c>
      <c r="H70" s="69">
        <v>-198393.09</v>
      </c>
      <c r="I70" s="69">
        <v>370838.86</v>
      </c>
      <c r="J70" s="69">
        <v>3862457.33</v>
      </c>
      <c r="K70" s="69">
        <f>-825559.350799994-749</f>
        <v>-826308.35079999396</v>
      </c>
      <c r="L70" s="69">
        <f>+J70+K70</f>
        <v>3036148.979200006</v>
      </c>
      <c r="M70" s="70">
        <v>-1067566.54</v>
      </c>
      <c r="N70" s="70"/>
      <c r="O70" s="70"/>
      <c r="P70" s="70"/>
      <c r="Q70" s="70"/>
      <c r="R70" s="70">
        <f>+Q70+M70</f>
        <v>-1067566.54</v>
      </c>
      <c r="S70" s="104">
        <f>+I70+R70</f>
        <v>-696727.68</v>
      </c>
      <c r="T70" s="104">
        <f>+L70+R70</f>
        <v>1968582.439200006</v>
      </c>
      <c r="U70" s="104">
        <f>+I70+M70</f>
        <v>-696727.68</v>
      </c>
      <c r="V70" s="104">
        <f>+L70+M70</f>
        <v>1968582.439200006</v>
      </c>
      <c r="W70" s="71">
        <f>SUM(W71:W75)</f>
        <v>126</v>
      </c>
      <c r="X70" s="71">
        <f t="shared" ref="X70:AA70" si="26">SUM(X71:X75)</f>
        <v>137</v>
      </c>
      <c r="Y70" s="71">
        <f t="shared" si="26"/>
        <v>130</v>
      </c>
      <c r="Z70" s="71">
        <f t="shared" si="26"/>
        <v>112</v>
      </c>
      <c r="AA70" s="71">
        <f t="shared" si="26"/>
        <v>112</v>
      </c>
      <c r="AB70" s="72">
        <f>+(AA70-W70)/W70</f>
        <v>-0.1111111111111111</v>
      </c>
      <c r="AD70" s="107"/>
      <c r="AE70" s="107"/>
      <c r="AF70" s="108"/>
      <c r="AG70" s="107"/>
      <c r="AH70" s="81">
        <v>1</v>
      </c>
    </row>
    <row r="71" spans="1:34" x14ac:dyDescent="0.15">
      <c r="A71" s="73" t="s">
        <v>62</v>
      </c>
      <c r="B71" s="73" t="s">
        <v>63</v>
      </c>
      <c r="C71" s="73" t="s">
        <v>93</v>
      </c>
      <c r="D71" s="73" t="s">
        <v>94</v>
      </c>
      <c r="E71" s="73" t="s">
        <v>38</v>
      </c>
      <c r="F71" s="73" t="s">
        <v>6</v>
      </c>
      <c r="G71" s="74">
        <v>137951.19</v>
      </c>
      <c r="H71" s="75">
        <v>-106147.59</v>
      </c>
      <c r="I71" s="75">
        <v>31803.599999999999</v>
      </c>
      <c r="J71" s="76"/>
      <c r="K71" s="76"/>
      <c r="L71" s="76"/>
      <c r="M71" s="77"/>
      <c r="N71" s="77"/>
      <c r="O71" s="77"/>
      <c r="P71" s="77"/>
      <c r="Q71" s="77"/>
      <c r="R71" s="77"/>
      <c r="S71" s="78"/>
      <c r="T71" s="78"/>
      <c r="U71" s="78"/>
      <c r="V71" s="78"/>
      <c r="W71" s="32">
        <v>16</v>
      </c>
      <c r="X71" s="32">
        <v>21</v>
      </c>
      <c r="Y71" s="32">
        <v>24</v>
      </c>
      <c r="Z71" s="32">
        <v>25</v>
      </c>
      <c r="AA71" s="32">
        <v>24</v>
      </c>
      <c r="AB71" s="21">
        <f t="shared" ref="AB71:AB75" si="27">+(AA71-W71)/W71</f>
        <v>0.5</v>
      </c>
      <c r="AC71" s="33">
        <f>+AA71/AA70</f>
        <v>0.21428571428571427</v>
      </c>
      <c r="AD71" s="109"/>
      <c r="AE71" s="109"/>
      <c r="AF71" s="110">
        <f>+AB71/AB70</f>
        <v>-4.5</v>
      </c>
      <c r="AG71" s="109"/>
      <c r="AH71" s="82">
        <v>1</v>
      </c>
    </row>
    <row r="72" spans="1:34" x14ac:dyDescent="0.15">
      <c r="A72" s="73" t="s">
        <v>62</v>
      </c>
      <c r="B72" s="73" t="s">
        <v>195</v>
      </c>
      <c r="C72" s="73" t="s">
        <v>258</v>
      </c>
      <c r="D72" s="73" t="s">
        <v>259</v>
      </c>
      <c r="E72" s="73" t="s">
        <v>38</v>
      </c>
      <c r="F72" s="73" t="s">
        <v>6</v>
      </c>
      <c r="G72" s="74">
        <v>41779.599999999999</v>
      </c>
      <c r="H72" s="75">
        <v>-8544.6</v>
      </c>
      <c r="I72" s="75">
        <v>33235</v>
      </c>
      <c r="J72" s="76"/>
      <c r="K72" s="76"/>
      <c r="L72" s="76"/>
      <c r="M72" s="77"/>
      <c r="N72" s="77"/>
      <c r="O72" s="77"/>
      <c r="P72" s="77"/>
      <c r="Q72" s="77"/>
      <c r="R72" s="77"/>
      <c r="S72" s="78"/>
      <c r="T72" s="78"/>
      <c r="U72" s="78"/>
      <c r="V72" s="78"/>
      <c r="W72" s="25">
        <v>11</v>
      </c>
      <c r="X72" s="25">
        <v>18</v>
      </c>
      <c r="Y72" s="25">
        <v>16</v>
      </c>
      <c r="Z72" s="32">
        <v>15</v>
      </c>
      <c r="AA72" s="32">
        <v>11</v>
      </c>
      <c r="AB72" s="21">
        <f t="shared" si="27"/>
        <v>0</v>
      </c>
      <c r="AC72" s="33">
        <f>+AA72/AA70</f>
        <v>9.8214285714285712E-2</v>
      </c>
      <c r="AD72" s="109"/>
      <c r="AE72" s="109"/>
      <c r="AF72" s="110">
        <f>+AB72/AB70</f>
        <v>0</v>
      </c>
      <c r="AG72" s="109"/>
      <c r="AH72" s="82">
        <v>1</v>
      </c>
    </row>
    <row r="73" spans="1:34" x14ac:dyDescent="0.15">
      <c r="A73" s="73" t="s">
        <v>62</v>
      </c>
      <c r="B73" s="73" t="s">
        <v>195</v>
      </c>
      <c r="C73" s="73" t="s">
        <v>299</v>
      </c>
      <c r="D73" s="73" t="s">
        <v>300</v>
      </c>
      <c r="E73" s="73" t="s">
        <v>38</v>
      </c>
      <c r="F73" s="73" t="s">
        <v>6</v>
      </c>
      <c r="G73" s="74">
        <v>24136.9</v>
      </c>
      <c r="H73" s="75">
        <v>-8045.7</v>
      </c>
      <c r="I73" s="75">
        <v>16091.2</v>
      </c>
      <c r="J73" s="76"/>
      <c r="K73" s="76"/>
      <c r="L73" s="76"/>
      <c r="M73" s="77"/>
      <c r="N73" s="77"/>
      <c r="O73" s="77"/>
      <c r="P73" s="77"/>
      <c r="Q73" s="77"/>
      <c r="R73" s="77"/>
      <c r="S73" s="78"/>
      <c r="T73" s="78"/>
      <c r="U73" s="78"/>
      <c r="V73" s="78"/>
      <c r="W73" s="25">
        <v>16</v>
      </c>
      <c r="X73" s="25">
        <v>15</v>
      </c>
      <c r="Y73" s="25">
        <v>15</v>
      </c>
      <c r="Z73" s="32">
        <v>11</v>
      </c>
      <c r="AA73" s="32">
        <v>6</v>
      </c>
      <c r="AB73" s="21">
        <f t="shared" si="27"/>
        <v>-0.625</v>
      </c>
      <c r="AC73" s="33">
        <f>+AA73/AA70</f>
        <v>5.3571428571428568E-2</v>
      </c>
      <c r="AD73" s="109"/>
      <c r="AE73" s="109"/>
      <c r="AF73" s="110">
        <f>+AB73/AB70</f>
        <v>5.625</v>
      </c>
      <c r="AG73" s="109"/>
      <c r="AH73" s="82">
        <v>2</v>
      </c>
    </row>
    <row r="74" spans="1:34" x14ac:dyDescent="0.15">
      <c r="A74" s="73" t="s">
        <v>321</v>
      </c>
      <c r="B74" s="73" t="s">
        <v>322</v>
      </c>
      <c r="C74" s="73" t="s">
        <v>393</v>
      </c>
      <c r="D74" s="73" t="s">
        <v>394</v>
      </c>
      <c r="E74" s="73" t="s">
        <v>38</v>
      </c>
      <c r="F74" s="73" t="s">
        <v>6</v>
      </c>
      <c r="G74" s="74">
        <v>60556.75</v>
      </c>
      <c r="H74" s="75">
        <v>-3150</v>
      </c>
      <c r="I74" s="75">
        <v>57406.75</v>
      </c>
      <c r="J74" s="76"/>
      <c r="K74" s="76"/>
      <c r="L74" s="76"/>
      <c r="M74" s="77"/>
      <c r="N74" s="77"/>
      <c r="O74" s="77"/>
      <c r="P74" s="77"/>
      <c r="Q74" s="77"/>
      <c r="R74" s="77"/>
      <c r="S74" s="78"/>
      <c r="T74" s="78"/>
      <c r="U74" s="78"/>
      <c r="V74" s="78"/>
      <c r="W74" s="25">
        <v>20</v>
      </c>
      <c r="X74" s="25">
        <v>17</v>
      </c>
      <c r="Y74" s="32">
        <v>13</v>
      </c>
      <c r="Z74" s="32">
        <v>16</v>
      </c>
      <c r="AA74" s="32">
        <v>11</v>
      </c>
      <c r="AB74" s="21">
        <f t="shared" si="27"/>
        <v>-0.45</v>
      </c>
      <c r="AC74" s="33">
        <f>+AA74/AA70</f>
        <v>9.8214285714285712E-2</v>
      </c>
      <c r="AD74" s="109"/>
      <c r="AE74" s="109"/>
      <c r="AF74" s="110">
        <f>+AB74/AB70</f>
        <v>4.0500000000000007</v>
      </c>
      <c r="AG74" s="109"/>
      <c r="AH74" s="82">
        <v>1</v>
      </c>
    </row>
    <row r="75" spans="1:34" x14ac:dyDescent="0.15">
      <c r="A75" s="73" t="s">
        <v>321</v>
      </c>
      <c r="B75" s="73" t="s">
        <v>322</v>
      </c>
      <c r="C75" s="73" t="s">
        <v>395</v>
      </c>
      <c r="D75" s="73" t="s">
        <v>396</v>
      </c>
      <c r="E75" s="73" t="s">
        <v>38</v>
      </c>
      <c r="F75" s="73" t="s">
        <v>6</v>
      </c>
      <c r="G75" s="74">
        <v>304807.51</v>
      </c>
      <c r="H75" s="75">
        <v>-72505.2</v>
      </c>
      <c r="I75" s="75">
        <v>232302.31</v>
      </c>
      <c r="J75" s="76"/>
      <c r="K75" s="76"/>
      <c r="L75" s="76"/>
      <c r="M75" s="77"/>
      <c r="N75" s="77"/>
      <c r="O75" s="77"/>
      <c r="P75" s="77"/>
      <c r="Q75" s="77"/>
      <c r="R75" s="77"/>
      <c r="S75" s="78"/>
      <c r="T75" s="78"/>
      <c r="U75" s="78"/>
      <c r="V75" s="78"/>
      <c r="W75" s="25">
        <v>63</v>
      </c>
      <c r="X75" s="25">
        <v>66</v>
      </c>
      <c r="Y75" s="32">
        <v>62</v>
      </c>
      <c r="Z75" s="32">
        <v>45</v>
      </c>
      <c r="AA75" s="32">
        <v>60</v>
      </c>
      <c r="AB75" s="21">
        <f t="shared" si="27"/>
        <v>-4.7619047619047616E-2</v>
      </c>
      <c r="AC75" s="33">
        <f>+AA75/AA70</f>
        <v>0.5357142857142857</v>
      </c>
      <c r="AD75" s="109"/>
      <c r="AE75" s="109"/>
      <c r="AF75" s="110">
        <f>+AB75/AB70</f>
        <v>0.42857142857142855</v>
      </c>
      <c r="AG75" s="109"/>
      <c r="AH75" s="82">
        <v>1</v>
      </c>
    </row>
    <row r="76" spans="1:34" s="11" customFormat="1" x14ac:dyDescent="0.15">
      <c r="A76" s="67"/>
      <c r="B76" s="67" t="s">
        <v>0</v>
      </c>
      <c r="C76" s="67" t="s">
        <v>0</v>
      </c>
      <c r="D76" s="67" t="s">
        <v>0</v>
      </c>
      <c r="E76" s="67" t="s">
        <v>48</v>
      </c>
      <c r="F76" s="67" t="s">
        <v>6</v>
      </c>
      <c r="G76" s="68">
        <v>212296.16</v>
      </c>
      <c r="H76" s="69">
        <v>-28445.8</v>
      </c>
      <c r="I76" s="69">
        <v>183850.36</v>
      </c>
      <c r="J76" s="69">
        <v>1052760.49</v>
      </c>
      <c r="K76" s="69">
        <v>-129291.403660048</v>
      </c>
      <c r="L76" s="69">
        <f>+J76+K76</f>
        <v>923469.08633995196</v>
      </c>
      <c r="M76" s="70">
        <v>-634237.99</v>
      </c>
      <c r="N76" s="70"/>
      <c r="O76" s="70"/>
      <c r="P76" s="70"/>
      <c r="Q76" s="70"/>
      <c r="R76" s="70">
        <f>+Q76+M76</f>
        <v>-634237.99</v>
      </c>
      <c r="S76" s="104">
        <f>+I76+R76</f>
        <v>-450387.63</v>
      </c>
      <c r="T76" s="104">
        <f>+L76+R76</f>
        <v>289231.09633995197</v>
      </c>
      <c r="U76" s="104">
        <f>+I76+M76</f>
        <v>-450387.63</v>
      </c>
      <c r="V76" s="104">
        <f>+L76+M76</f>
        <v>289231.09633995197</v>
      </c>
      <c r="W76" s="71">
        <f>+W77</f>
        <v>61</v>
      </c>
      <c r="X76" s="71">
        <f t="shared" ref="X76:AA76" si="28">+X77</f>
        <v>56</v>
      </c>
      <c r="Y76" s="71">
        <f t="shared" si="28"/>
        <v>58</v>
      </c>
      <c r="Z76" s="71">
        <f t="shared" si="28"/>
        <v>57</v>
      </c>
      <c r="AA76" s="71">
        <f t="shared" si="28"/>
        <v>46</v>
      </c>
      <c r="AB76" s="72">
        <f>+(AA76-W76)/W76</f>
        <v>-0.24590163934426229</v>
      </c>
      <c r="AD76" s="107"/>
      <c r="AE76" s="107"/>
      <c r="AF76" s="108"/>
      <c r="AG76" s="107"/>
      <c r="AH76" s="81">
        <v>1</v>
      </c>
    </row>
    <row r="77" spans="1:34" x14ac:dyDescent="0.15">
      <c r="A77" s="73" t="s">
        <v>321</v>
      </c>
      <c r="B77" s="73" t="s">
        <v>322</v>
      </c>
      <c r="C77" s="73" t="s">
        <v>420</v>
      </c>
      <c r="D77" s="73" t="s">
        <v>421</v>
      </c>
      <c r="E77" s="73" t="s">
        <v>48</v>
      </c>
      <c r="F77" s="73" t="s">
        <v>6</v>
      </c>
      <c r="G77" s="74">
        <v>212296.16</v>
      </c>
      <c r="H77" s="75">
        <v>-28445.8</v>
      </c>
      <c r="I77" s="75">
        <v>183850.36</v>
      </c>
      <c r="J77" s="76"/>
      <c r="K77" s="76"/>
      <c r="L77" s="76"/>
      <c r="M77" s="77"/>
      <c r="N77" s="77"/>
      <c r="O77" s="77"/>
      <c r="P77" s="77"/>
      <c r="Q77" s="77"/>
      <c r="R77" s="77"/>
      <c r="S77" s="78"/>
      <c r="T77" s="78"/>
      <c r="U77" s="97"/>
      <c r="V77" s="97"/>
      <c r="W77" s="26">
        <f>60+1</f>
        <v>61</v>
      </c>
      <c r="X77" s="26">
        <v>56</v>
      </c>
      <c r="Y77" s="98">
        <v>58</v>
      </c>
      <c r="Z77" s="98">
        <v>57</v>
      </c>
      <c r="AA77" s="98">
        <v>46</v>
      </c>
      <c r="AB77" s="10"/>
      <c r="AD77" s="109"/>
      <c r="AE77" s="109"/>
      <c r="AF77" s="110">
        <f>+AB77/AB76</f>
        <v>0</v>
      </c>
      <c r="AG77" s="109"/>
      <c r="AH77" s="82">
        <v>2</v>
      </c>
    </row>
    <row r="78" spans="1:34" s="11" customFormat="1" x14ac:dyDescent="0.15">
      <c r="A78" s="67"/>
      <c r="B78" s="67" t="s">
        <v>0</v>
      </c>
      <c r="C78" s="67" t="s">
        <v>0</v>
      </c>
      <c r="D78" s="67" t="s">
        <v>0</v>
      </c>
      <c r="E78" s="67" t="s">
        <v>49</v>
      </c>
      <c r="F78" s="67" t="s">
        <v>6</v>
      </c>
      <c r="G78" s="68">
        <v>564391</v>
      </c>
      <c r="H78" s="69">
        <v>-252248.83249999999</v>
      </c>
      <c r="I78" s="69">
        <v>312142.16749999998</v>
      </c>
      <c r="J78" s="69">
        <f>2676834.81+178269.27</f>
        <v>2855104.08</v>
      </c>
      <c r="K78" s="69">
        <f>-631300.22163776+1574-29630.8</f>
        <v>-659357.0216377601</v>
      </c>
      <c r="L78" s="69">
        <f>+J78+K78</f>
        <v>2195747.05836224</v>
      </c>
      <c r="M78" s="70">
        <f>-828778.72+980.46-N78</f>
        <v>-819086.97</v>
      </c>
      <c r="N78" s="70">
        <v>-8711.2900000000009</v>
      </c>
      <c r="O78" s="70">
        <v>-980.46</v>
      </c>
      <c r="P78" s="70">
        <v>-30184.68</v>
      </c>
      <c r="Q78" s="70">
        <v>-5305.98</v>
      </c>
      <c r="R78" s="70">
        <f>+Q78+M78</f>
        <v>-824392.95</v>
      </c>
      <c r="S78" s="104">
        <f>+I78+R78</f>
        <v>-512250.78249999997</v>
      </c>
      <c r="T78" s="104">
        <f>+L78+R78</f>
        <v>1371354.10836224</v>
      </c>
      <c r="U78" s="104">
        <f>+I78+M78</f>
        <v>-506944.80249999999</v>
      </c>
      <c r="V78" s="104">
        <f>+L78+M78</f>
        <v>1376660.08836224</v>
      </c>
      <c r="W78" s="71">
        <f>SUM(W79:W82)</f>
        <v>121</v>
      </c>
      <c r="X78" s="71">
        <f t="shared" ref="X78:AA78" si="29">SUM(X79:X82)</f>
        <v>131</v>
      </c>
      <c r="Y78" s="71">
        <f t="shared" si="29"/>
        <v>122</v>
      </c>
      <c r="Z78" s="71">
        <f t="shared" si="29"/>
        <v>108</v>
      </c>
      <c r="AA78" s="71">
        <f t="shared" si="29"/>
        <v>100</v>
      </c>
      <c r="AB78" s="72">
        <f>+(AA78-W78)/W78</f>
        <v>-0.17355371900826447</v>
      </c>
      <c r="AD78" s="107"/>
      <c r="AE78" s="107"/>
      <c r="AF78" s="108"/>
      <c r="AG78" s="107"/>
      <c r="AH78" s="81">
        <v>1</v>
      </c>
    </row>
    <row r="79" spans="1:34" x14ac:dyDescent="0.15">
      <c r="A79" s="73" t="s">
        <v>62</v>
      </c>
      <c r="B79" s="73" t="s">
        <v>63</v>
      </c>
      <c r="C79" s="73" t="s">
        <v>105</v>
      </c>
      <c r="D79" s="73" t="s">
        <v>106</v>
      </c>
      <c r="E79" s="73" t="s">
        <v>49</v>
      </c>
      <c r="F79" s="73" t="s">
        <v>6</v>
      </c>
      <c r="G79" s="74">
        <v>143230.5</v>
      </c>
      <c r="H79" s="75">
        <v>-118054.2</v>
      </c>
      <c r="I79" s="75">
        <v>25176.3</v>
      </c>
      <c r="J79" s="76"/>
      <c r="K79" s="76"/>
      <c r="L79" s="76"/>
      <c r="M79" s="77"/>
      <c r="N79" s="77"/>
      <c r="O79" s="77"/>
      <c r="P79" s="77"/>
      <c r="Q79" s="77"/>
      <c r="R79" s="77"/>
      <c r="S79" s="78"/>
      <c r="T79" s="78"/>
      <c r="U79" s="78"/>
      <c r="V79" s="78"/>
      <c r="W79" s="32">
        <v>22</v>
      </c>
      <c r="X79" s="32">
        <v>29</v>
      </c>
      <c r="Y79" s="32">
        <v>28</v>
      </c>
      <c r="Z79" s="32">
        <v>33</v>
      </c>
      <c r="AA79" s="32">
        <v>30</v>
      </c>
      <c r="AB79" s="21">
        <f t="shared" ref="AB79:AB82" si="30">+(AA79-W79)/W79</f>
        <v>0.36363636363636365</v>
      </c>
      <c r="AC79" s="33">
        <f>+AA79/AA78</f>
        <v>0.3</v>
      </c>
      <c r="AD79" s="109"/>
      <c r="AE79" s="109"/>
      <c r="AF79" s="110">
        <f>+AB79/AB78</f>
        <v>-2.0952380952380953</v>
      </c>
      <c r="AG79" s="109"/>
      <c r="AH79" s="82">
        <v>1</v>
      </c>
    </row>
    <row r="80" spans="1:34" x14ac:dyDescent="0.15">
      <c r="A80" s="73" t="s">
        <v>62</v>
      </c>
      <c r="B80" s="73" t="s">
        <v>195</v>
      </c>
      <c r="C80" s="73" t="s">
        <v>285</v>
      </c>
      <c r="D80" s="73" t="s">
        <v>286</v>
      </c>
      <c r="E80" s="73" t="s">
        <v>49</v>
      </c>
      <c r="F80" s="73" t="s">
        <v>6</v>
      </c>
      <c r="G80" s="74">
        <v>118837.9</v>
      </c>
      <c r="H80" s="75">
        <v>-60106.6</v>
      </c>
      <c r="I80" s="75">
        <v>58731.3</v>
      </c>
      <c r="J80" s="76"/>
      <c r="K80" s="76"/>
      <c r="L80" s="76"/>
      <c r="M80" s="77"/>
      <c r="N80" s="77"/>
      <c r="O80" s="77"/>
      <c r="P80" s="77"/>
      <c r="Q80" s="77"/>
      <c r="R80" s="77"/>
      <c r="S80" s="78"/>
      <c r="T80" s="78"/>
      <c r="U80" s="78"/>
      <c r="V80" s="78"/>
      <c r="W80" s="25">
        <v>39</v>
      </c>
      <c r="X80" s="25">
        <v>29</v>
      </c>
      <c r="Y80" s="25">
        <v>27</v>
      </c>
      <c r="Z80" s="32">
        <v>26</v>
      </c>
      <c r="AA80" s="32">
        <v>20</v>
      </c>
      <c r="AB80" s="21">
        <f t="shared" si="30"/>
        <v>-0.48717948717948717</v>
      </c>
      <c r="AC80" s="33">
        <f>+AA80/AA78</f>
        <v>0.2</v>
      </c>
      <c r="AD80" s="109"/>
      <c r="AE80" s="109"/>
      <c r="AF80" s="110">
        <f>+AB80/AB78</f>
        <v>2.8070818070818069</v>
      </c>
      <c r="AG80" s="109"/>
      <c r="AH80" s="82">
        <v>2</v>
      </c>
    </row>
    <row r="81" spans="1:34" x14ac:dyDescent="0.15">
      <c r="A81" s="73" t="s">
        <v>321</v>
      </c>
      <c r="B81" s="73" t="s">
        <v>322</v>
      </c>
      <c r="C81" s="73" t="s">
        <v>422</v>
      </c>
      <c r="D81" s="73" t="s">
        <v>423</v>
      </c>
      <c r="E81" s="73" t="s">
        <v>49</v>
      </c>
      <c r="F81" s="73" t="s">
        <v>6</v>
      </c>
      <c r="G81" s="74">
        <v>15589.3</v>
      </c>
      <c r="H81" s="75">
        <v>-2288</v>
      </c>
      <c r="I81" s="75">
        <v>13301.3</v>
      </c>
      <c r="J81" s="76"/>
      <c r="K81" s="76"/>
      <c r="L81" s="76"/>
      <c r="M81" s="77"/>
      <c r="N81" s="77"/>
      <c r="O81" s="77"/>
      <c r="P81" s="77"/>
      <c r="Q81" s="77"/>
      <c r="R81" s="77"/>
      <c r="S81" s="78"/>
      <c r="T81" s="78"/>
      <c r="U81" s="78"/>
      <c r="V81" s="78"/>
      <c r="W81" s="25">
        <v>5</v>
      </c>
      <c r="X81" s="25">
        <v>5</v>
      </c>
      <c r="Y81" s="25">
        <v>4</v>
      </c>
      <c r="Z81" s="32">
        <v>5</v>
      </c>
      <c r="AA81" s="32">
        <v>2</v>
      </c>
      <c r="AB81" s="21">
        <f t="shared" si="30"/>
        <v>-0.6</v>
      </c>
      <c r="AC81" s="33">
        <f>+AA81/AA78</f>
        <v>0.02</v>
      </c>
      <c r="AD81" s="109"/>
      <c r="AE81" s="109"/>
      <c r="AF81" s="110">
        <f>+AB81/AB78</f>
        <v>3.4571428571428569</v>
      </c>
      <c r="AG81" s="109"/>
      <c r="AH81" s="82">
        <v>2</v>
      </c>
    </row>
    <row r="82" spans="1:34" x14ac:dyDescent="0.15">
      <c r="A82" s="73" t="s">
        <v>321</v>
      </c>
      <c r="B82" s="73" t="s">
        <v>322</v>
      </c>
      <c r="C82" s="73" t="s">
        <v>424</v>
      </c>
      <c r="D82" s="73" t="s">
        <v>425</v>
      </c>
      <c r="E82" s="73" t="s">
        <v>49</v>
      </c>
      <c r="F82" s="73" t="s">
        <v>6</v>
      </c>
      <c r="G82" s="74">
        <v>286733.3</v>
      </c>
      <c r="H82" s="75">
        <v>-71800.032500000001</v>
      </c>
      <c r="I82" s="75">
        <v>214933.26749999999</v>
      </c>
      <c r="J82" s="76"/>
      <c r="K82" s="76"/>
      <c r="L82" s="76"/>
      <c r="M82" s="77"/>
      <c r="N82" s="77"/>
      <c r="O82" s="77"/>
      <c r="P82" s="77"/>
      <c r="Q82" s="77"/>
      <c r="R82" s="77"/>
      <c r="S82" s="78"/>
      <c r="T82" s="78"/>
      <c r="U82" s="78"/>
      <c r="V82" s="78"/>
      <c r="W82" s="25">
        <v>55</v>
      </c>
      <c r="X82" s="25">
        <v>68</v>
      </c>
      <c r="Y82" s="25">
        <v>63</v>
      </c>
      <c r="Z82" s="32">
        <v>44</v>
      </c>
      <c r="AA82" s="32">
        <v>48</v>
      </c>
      <c r="AB82" s="21">
        <f t="shared" si="30"/>
        <v>-0.12727272727272726</v>
      </c>
      <c r="AC82" s="33">
        <f>+AA82/AA78</f>
        <v>0.48</v>
      </c>
      <c r="AD82" s="109"/>
      <c r="AE82" s="109"/>
      <c r="AF82" s="110">
        <f>+AB82/AB78</f>
        <v>0.73333333333333328</v>
      </c>
      <c r="AG82" s="109"/>
      <c r="AH82" s="82">
        <v>1</v>
      </c>
    </row>
    <row r="83" spans="1:34" s="11" customFormat="1" x14ac:dyDescent="0.15">
      <c r="A83" s="67"/>
      <c r="B83" s="67" t="s">
        <v>0</v>
      </c>
      <c r="C83" s="67" t="s">
        <v>0</v>
      </c>
      <c r="D83" s="67" t="s">
        <v>0</v>
      </c>
      <c r="E83" s="67" t="s">
        <v>50</v>
      </c>
      <c r="F83" s="67" t="s">
        <v>6</v>
      </c>
      <c r="G83" s="68">
        <v>1023200.75</v>
      </c>
      <c r="H83" s="69">
        <v>-199948.87</v>
      </c>
      <c r="I83" s="69">
        <v>823251.88</v>
      </c>
      <c r="J83" s="69">
        <v>1336966.53</v>
      </c>
      <c r="K83" s="69">
        <v>-260098.701505373</v>
      </c>
      <c r="L83" s="69">
        <f>+J83+K83</f>
        <v>1076867.828494627</v>
      </c>
      <c r="M83" s="70">
        <f>-515955.25-N83</f>
        <v>-515475.25</v>
      </c>
      <c r="N83" s="70">
        <v>-480</v>
      </c>
      <c r="O83" s="70">
        <v>-93586.3</v>
      </c>
      <c r="P83" s="70"/>
      <c r="Q83" s="70"/>
      <c r="R83" s="70">
        <f>+Q83+M83</f>
        <v>-515475.25</v>
      </c>
      <c r="S83" s="104">
        <f>+I83+R83</f>
        <v>307776.63</v>
      </c>
      <c r="T83" s="104">
        <f>+L83+R83</f>
        <v>561392.57849462703</v>
      </c>
      <c r="U83" s="104">
        <f>+I83+M83</f>
        <v>307776.63</v>
      </c>
      <c r="V83" s="104">
        <f>+L83+M83</f>
        <v>561392.57849462703</v>
      </c>
      <c r="W83" s="71">
        <f>SUM(W84:W86)</f>
        <v>127</v>
      </c>
      <c r="X83" s="71">
        <f t="shared" ref="X83:AA83" si="31">SUM(X84:X86)</f>
        <v>143</v>
      </c>
      <c r="Y83" s="71">
        <f t="shared" si="31"/>
        <v>159</v>
      </c>
      <c r="Z83" s="71">
        <f t="shared" si="31"/>
        <v>171</v>
      </c>
      <c r="AA83" s="71">
        <f t="shared" si="31"/>
        <v>177</v>
      </c>
      <c r="AB83" s="72">
        <f>+(AA83-W83)/W83</f>
        <v>0.39370078740157483</v>
      </c>
      <c r="AD83" s="107"/>
      <c r="AE83" s="107"/>
      <c r="AF83" s="108"/>
      <c r="AG83" s="107"/>
      <c r="AH83" s="81">
        <v>1</v>
      </c>
    </row>
    <row r="84" spans="1:34" x14ac:dyDescent="0.15">
      <c r="A84" s="73" t="s">
        <v>62</v>
      </c>
      <c r="B84" s="73" t="s">
        <v>63</v>
      </c>
      <c r="C84" s="73" t="s">
        <v>107</v>
      </c>
      <c r="D84" s="73" t="s">
        <v>108</v>
      </c>
      <c r="E84" s="73" t="s">
        <v>50</v>
      </c>
      <c r="F84" s="73" t="s">
        <v>6</v>
      </c>
      <c r="G84" s="74">
        <v>6455.2</v>
      </c>
      <c r="H84" s="75"/>
      <c r="I84" s="75">
        <v>6455.2</v>
      </c>
      <c r="J84" s="76"/>
      <c r="K84" s="76"/>
      <c r="L84" s="76"/>
      <c r="M84" s="77"/>
      <c r="N84" s="77"/>
      <c r="O84" s="77"/>
      <c r="P84" s="77"/>
      <c r="Q84" s="77"/>
      <c r="R84" s="77"/>
      <c r="S84" s="78"/>
      <c r="T84" s="78"/>
      <c r="U84" s="78"/>
      <c r="V84" s="78"/>
      <c r="W84" s="32">
        <v>2</v>
      </c>
      <c r="X84" s="32">
        <v>2</v>
      </c>
      <c r="Y84" s="32">
        <v>2</v>
      </c>
      <c r="Z84" s="32">
        <v>2</v>
      </c>
      <c r="AA84" s="32">
        <v>2</v>
      </c>
      <c r="AB84" s="21">
        <f t="shared" ref="AB84:AB86" si="32">+(AA84-W84)/W84</f>
        <v>0</v>
      </c>
      <c r="AC84" s="33">
        <f>+AA84/AA83</f>
        <v>1.1299435028248588E-2</v>
      </c>
      <c r="AD84" s="109"/>
      <c r="AE84" s="109"/>
      <c r="AF84" s="110">
        <f>+AB84/AB83</f>
        <v>0</v>
      </c>
      <c r="AG84" s="109"/>
      <c r="AH84" s="82">
        <v>3</v>
      </c>
    </row>
    <row r="85" spans="1:34" x14ac:dyDescent="0.15">
      <c r="A85" s="73" t="s">
        <v>62</v>
      </c>
      <c r="B85" s="73" t="s">
        <v>195</v>
      </c>
      <c r="C85" s="73" t="s">
        <v>287</v>
      </c>
      <c r="D85" s="73" t="s">
        <v>288</v>
      </c>
      <c r="E85" s="73" t="s">
        <v>50</v>
      </c>
      <c r="F85" s="73" t="s">
        <v>6</v>
      </c>
      <c r="G85" s="74">
        <v>20044</v>
      </c>
      <c r="H85" s="75"/>
      <c r="I85" s="75">
        <v>20044</v>
      </c>
      <c r="J85" s="76"/>
      <c r="K85" s="76"/>
      <c r="L85" s="76"/>
      <c r="M85" s="77"/>
      <c r="N85" s="77"/>
      <c r="O85" s="77"/>
      <c r="P85" s="77"/>
      <c r="Q85" s="77"/>
      <c r="R85" s="77"/>
      <c r="S85" s="78"/>
      <c r="T85" s="78"/>
      <c r="U85" s="78"/>
      <c r="V85" s="78"/>
      <c r="W85" s="25">
        <v>3</v>
      </c>
      <c r="X85" s="25">
        <v>5</v>
      </c>
      <c r="Y85" s="25">
        <v>9</v>
      </c>
      <c r="Z85" s="32">
        <v>13</v>
      </c>
      <c r="AA85" s="32">
        <v>10</v>
      </c>
      <c r="AB85" s="21">
        <f t="shared" si="32"/>
        <v>2.3333333333333335</v>
      </c>
      <c r="AC85" s="33">
        <f>+AA85/AA83</f>
        <v>5.6497175141242938E-2</v>
      </c>
      <c r="AD85" s="109"/>
      <c r="AE85" s="109"/>
      <c r="AF85" s="110">
        <f>+AB85/AB83</f>
        <v>5.9266666666666667</v>
      </c>
      <c r="AG85" s="109"/>
      <c r="AH85" s="82">
        <v>3</v>
      </c>
    </row>
    <row r="86" spans="1:34" x14ac:dyDescent="0.15">
      <c r="A86" s="73" t="s">
        <v>321</v>
      </c>
      <c r="B86" s="73" t="s">
        <v>322</v>
      </c>
      <c r="C86" s="73" t="s">
        <v>426</v>
      </c>
      <c r="D86" s="73" t="s">
        <v>427</v>
      </c>
      <c r="E86" s="73" t="s">
        <v>50</v>
      </c>
      <c r="F86" s="73" t="s">
        <v>6</v>
      </c>
      <c r="G86" s="74">
        <v>996701.55</v>
      </c>
      <c r="H86" s="75">
        <v>-199948.87</v>
      </c>
      <c r="I86" s="75">
        <v>796752.68</v>
      </c>
      <c r="J86" s="76"/>
      <c r="K86" s="76"/>
      <c r="L86" s="76"/>
      <c r="M86" s="77"/>
      <c r="N86" s="77"/>
      <c r="O86" s="77"/>
      <c r="P86" s="77"/>
      <c r="Q86" s="77"/>
      <c r="R86" s="77"/>
      <c r="S86" s="78"/>
      <c r="T86" s="78"/>
      <c r="U86" s="78"/>
      <c r="V86" s="78"/>
      <c r="W86" s="25">
        <v>122</v>
      </c>
      <c r="X86" s="25">
        <v>136</v>
      </c>
      <c r="Y86" s="32">
        <v>148</v>
      </c>
      <c r="Z86" s="32">
        <v>156</v>
      </c>
      <c r="AA86" s="32">
        <v>165</v>
      </c>
      <c r="AB86" s="21">
        <f t="shared" si="32"/>
        <v>0.35245901639344263</v>
      </c>
      <c r="AC86" s="33">
        <f>+AA86/AA83</f>
        <v>0.93220338983050843</v>
      </c>
      <c r="AD86" s="109"/>
      <c r="AE86" s="109"/>
      <c r="AF86" s="110">
        <f>+AB86/AB83</f>
        <v>0.89524590163934425</v>
      </c>
      <c r="AG86" s="109"/>
      <c r="AH86" s="82">
        <v>1</v>
      </c>
    </row>
    <row r="87" spans="1:34" s="11" customFormat="1" x14ac:dyDescent="0.15">
      <c r="A87" s="67"/>
      <c r="B87" s="67" t="s">
        <v>0</v>
      </c>
      <c r="C87" s="67" t="s">
        <v>0</v>
      </c>
      <c r="D87" s="67" t="s">
        <v>0</v>
      </c>
      <c r="E87" s="67" t="s">
        <v>51</v>
      </c>
      <c r="F87" s="67" t="s">
        <v>6</v>
      </c>
      <c r="G87" s="68">
        <v>3439241.38</v>
      </c>
      <c r="H87" s="69">
        <v>-951542.41749999998</v>
      </c>
      <c r="I87" s="69">
        <v>2487698.9624999999</v>
      </c>
      <c r="J87" s="69">
        <f>2781403+32298.98</f>
        <v>2813701.98</v>
      </c>
      <c r="K87" s="69">
        <f>-826819+2065-2573.5</f>
        <v>-827327.5</v>
      </c>
      <c r="L87" s="69">
        <f>+J87+K87</f>
        <v>1986374.48</v>
      </c>
      <c r="M87" s="70">
        <f>-1068837.04</f>
        <v>-1068837.04</v>
      </c>
      <c r="N87" s="70"/>
      <c r="O87" s="70">
        <v>-22016.880000000001</v>
      </c>
      <c r="P87" s="70">
        <v>-273549.48</v>
      </c>
      <c r="Q87" s="70"/>
      <c r="R87" s="70">
        <f>+Q87+M87</f>
        <v>-1068837.04</v>
      </c>
      <c r="S87" s="104">
        <f>+I87+R87</f>
        <v>1418861.9224999999</v>
      </c>
      <c r="T87" s="104">
        <f>+L87+R87</f>
        <v>917537.44</v>
      </c>
      <c r="U87" s="104">
        <f>+I87+M87</f>
        <v>1418861.9224999999</v>
      </c>
      <c r="V87" s="104">
        <f>+L87+M87</f>
        <v>917537.44</v>
      </c>
      <c r="W87" s="71">
        <f>SUM(W88:W89)</f>
        <v>553</v>
      </c>
      <c r="X87" s="71">
        <f t="shared" ref="X87:AA87" si="33">SUM(X88:X89)</f>
        <v>571</v>
      </c>
      <c r="Y87" s="71">
        <f t="shared" si="33"/>
        <v>553</v>
      </c>
      <c r="Z87" s="71">
        <f t="shared" si="33"/>
        <v>536</v>
      </c>
      <c r="AA87" s="71">
        <f t="shared" si="33"/>
        <v>528</v>
      </c>
      <c r="AB87" s="72">
        <f>+(AA87-W87)/W87</f>
        <v>-4.5207956600361664E-2</v>
      </c>
      <c r="AD87" s="107"/>
      <c r="AE87" s="107"/>
      <c r="AF87" s="108"/>
      <c r="AG87" s="107"/>
      <c r="AH87" s="81">
        <v>1</v>
      </c>
    </row>
    <row r="88" spans="1:34" x14ac:dyDescent="0.15">
      <c r="A88" s="73" t="s">
        <v>62</v>
      </c>
      <c r="B88" s="73" t="s">
        <v>117</v>
      </c>
      <c r="C88" s="73" t="s">
        <v>137</v>
      </c>
      <c r="D88" s="73" t="s">
        <v>138</v>
      </c>
      <c r="E88" s="73" t="s">
        <v>51</v>
      </c>
      <c r="F88" s="73" t="s">
        <v>6</v>
      </c>
      <c r="G88" s="74">
        <v>355740.4</v>
      </c>
      <c r="H88" s="75">
        <v>-329341.84999999998</v>
      </c>
      <c r="I88" s="75">
        <v>26398.55</v>
      </c>
      <c r="J88" s="76"/>
      <c r="K88" s="76"/>
      <c r="L88" s="76"/>
      <c r="M88" s="77"/>
      <c r="N88" s="77"/>
      <c r="O88" s="77"/>
      <c r="P88" s="77"/>
      <c r="Q88" s="77"/>
      <c r="R88" s="77"/>
      <c r="S88" s="78"/>
      <c r="T88" s="78"/>
      <c r="U88" s="78"/>
      <c r="V88" s="78"/>
      <c r="W88" s="25">
        <v>31</v>
      </c>
      <c r="X88" s="25">
        <v>31</v>
      </c>
      <c r="Y88" s="25">
        <v>30</v>
      </c>
      <c r="Z88" s="32">
        <v>34</v>
      </c>
      <c r="AA88" s="32">
        <v>36</v>
      </c>
      <c r="AB88" s="21">
        <f t="shared" ref="AB88:AB89" si="34">+(AA88-W88)/W88</f>
        <v>0.16129032258064516</v>
      </c>
      <c r="AC88" s="33">
        <f>+AA88/AA87</f>
        <v>6.8181818181818177E-2</v>
      </c>
      <c r="AD88" s="109"/>
      <c r="AE88" s="109"/>
      <c r="AF88" s="110">
        <f>+AB88/AB87</f>
        <v>-3.5677419354838711</v>
      </c>
      <c r="AG88" s="109"/>
      <c r="AH88" s="82">
        <v>1</v>
      </c>
    </row>
    <row r="89" spans="1:34" x14ac:dyDescent="0.15">
      <c r="A89" s="73" t="s">
        <v>321</v>
      </c>
      <c r="B89" s="73" t="s">
        <v>322</v>
      </c>
      <c r="C89" s="73" t="s">
        <v>428</v>
      </c>
      <c r="D89" s="73" t="s">
        <v>429</v>
      </c>
      <c r="E89" s="73" t="s">
        <v>51</v>
      </c>
      <c r="F89" s="73" t="s">
        <v>6</v>
      </c>
      <c r="G89" s="74">
        <v>3083500.98</v>
      </c>
      <c r="H89" s="75">
        <v>-622200.5675</v>
      </c>
      <c r="I89" s="75">
        <v>2461300.4125000001</v>
      </c>
      <c r="J89" s="76"/>
      <c r="K89" s="76"/>
      <c r="L89" s="76"/>
      <c r="M89" s="77"/>
      <c r="N89" s="77"/>
      <c r="O89" s="77"/>
      <c r="P89" s="77"/>
      <c r="Q89" s="77"/>
      <c r="R89" s="77"/>
      <c r="S89" s="78"/>
      <c r="T89" s="78"/>
      <c r="U89" s="78"/>
      <c r="V89" s="78"/>
      <c r="W89" s="25">
        <v>522</v>
      </c>
      <c r="X89" s="25">
        <v>540</v>
      </c>
      <c r="Y89" s="32">
        <v>523</v>
      </c>
      <c r="Z89" s="32">
        <v>502</v>
      </c>
      <c r="AA89" s="32">
        <v>492</v>
      </c>
      <c r="AB89" s="21">
        <f t="shared" si="34"/>
        <v>-5.7471264367816091E-2</v>
      </c>
      <c r="AC89" s="33">
        <f>+AA89/AA87</f>
        <v>0.93181818181818177</v>
      </c>
      <c r="AD89" s="109"/>
      <c r="AE89" s="109"/>
      <c r="AF89" s="110">
        <f>+AB89/AB87</f>
        <v>1.271264367816092</v>
      </c>
      <c r="AG89" s="109"/>
      <c r="AH89" s="82">
        <v>1</v>
      </c>
    </row>
    <row r="90" spans="1:34" s="11" customFormat="1" x14ac:dyDescent="0.15">
      <c r="A90" s="67"/>
      <c r="B90" s="67" t="s">
        <v>0</v>
      </c>
      <c r="C90" s="67" t="s">
        <v>0</v>
      </c>
      <c r="D90" s="67" t="s">
        <v>0</v>
      </c>
      <c r="E90" s="67" t="s">
        <v>53</v>
      </c>
      <c r="F90" s="67" t="s">
        <v>6</v>
      </c>
      <c r="G90" s="68">
        <v>870187.5</v>
      </c>
      <c r="H90" s="69">
        <v>-34504.36</v>
      </c>
      <c r="I90" s="69">
        <v>835683.14</v>
      </c>
      <c r="J90" s="69">
        <v>893894.34</v>
      </c>
      <c r="K90" s="69">
        <v>-36591.760000000002</v>
      </c>
      <c r="L90" s="69">
        <f>+J90+K90</f>
        <v>857302.58</v>
      </c>
      <c r="M90" s="70">
        <v>-606464.48</v>
      </c>
      <c r="N90" s="70"/>
      <c r="O90" s="70">
        <v>-11410.9</v>
      </c>
      <c r="P90" s="70">
        <v>-3217.05</v>
      </c>
      <c r="Q90" s="70"/>
      <c r="R90" s="70">
        <f>+Q90+M90</f>
        <v>-606464.48</v>
      </c>
      <c r="S90" s="104">
        <f>+I90+R90</f>
        <v>229218.66000000003</v>
      </c>
      <c r="T90" s="104">
        <f>+L90+R90</f>
        <v>250838.09999999998</v>
      </c>
      <c r="U90" s="104">
        <f>+I90+M90</f>
        <v>229218.66000000003</v>
      </c>
      <c r="V90" s="104">
        <f>+L90+M90</f>
        <v>250838.09999999998</v>
      </c>
      <c r="W90" s="71">
        <f>+W91</f>
        <v>161</v>
      </c>
      <c r="X90" s="71">
        <f t="shared" ref="X90:AA90" si="35">+X91</f>
        <v>169</v>
      </c>
      <c r="Y90" s="71">
        <f t="shared" si="35"/>
        <v>177</v>
      </c>
      <c r="Z90" s="71">
        <f t="shared" si="35"/>
        <v>139</v>
      </c>
      <c r="AA90" s="71">
        <f t="shared" si="35"/>
        <v>112</v>
      </c>
      <c r="AB90" s="72">
        <f>+(AA90-W90)/W90</f>
        <v>-0.30434782608695654</v>
      </c>
      <c r="AD90" s="107"/>
      <c r="AE90" s="107"/>
      <c r="AF90" s="108"/>
      <c r="AG90" s="107"/>
      <c r="AH90" s="81">
        <v>1</v>
      </c>
    </row>
    <row r="91" spans="1:34" x14ac:dyDescent="0.15">
      <c r="A91" s="73" t="s">
        <v>62</v>
      </c>
      <c r="B91" s="73" t="s">
        <v>195</v>
      </c>
      <c r="C91" s="73" t="s">
        <v>293</v>
      </c>
      <c r="D91" s="73" t="s">
        <v>294</v>
      </c>
      <c r="E91" s="73" t="s">
        <v>53</v>
      </c>
      <c r="F91" s="73" t="s">
        <v>6</v>
      </c>
      <c r="G91" s="74">
        <v>870187.5</v>
      </c>
      <c r="H91" s="75">
        <v>-34504.36</v>
      </c>
      <c r="I91" s="75">
        <v>835683.14</v>
      </c>
      <c r="J91" s="76"/>
      <c r="K91" s="76"/>
      <c r="L91" s="76"/>
      <c r="M91" s="77"/>
      <c r="N91" s="77"/>
      <c r="O91" s="77"/>
      <c r="P91" s="77"/>
      <c r="Q91" s="77"/>
      <c r="R91" s="77"/>
      <c r="S91" s="78"/>
      <c r="T91" s="78"/>
      <c r="U91" s="78"/>
      <c r="V91" s="78"/>
      <c r="W91" s="25">
        <v>161</v>
      </c>
      <c r="X91" s="25">
        <v>169</v>
      </c>
      <c r="Y91" s="25">
        <v>177</v>
      </c>
      <c r="Z91" s="32">
        <v>139</v>
      </c>
      <c r="AA91" s="32">
        <v>112</v>
      </c>
      <c r="AB91" s="10"/>
      <c r="AD91" s="109"/>
      <c r="AE91" s="109"/>
      <c r="AF91" s="110">
        <f>+AB91/AB89</f>
        <v>0</v>
      </c>
      <c r="AG91" s="109"/>
      <c r="AH91" s="82">
        <v>2</v>
      </c>
    </row>
    <row r="92" spans="1:34" s="11" customFormat="1" x14ac:dyDescent="0.15">
      <c r="A92" s="67"/>
      <c r="B92" s="67" t="s">
        <v>0</v>
      </c>
      <c r="C92" s="67" t="s">
        <v>0</v>
      </c>
      <c r="D92" s="67" t="s">
        <v>0</v>
      </c>
      <c r="E92" s="67" t="s">
        <v>54</v>
      </c>
      <c r="F92" s="67" t="s">
        <v>6</v>
      </c>
      <c r="G92" s="68">
        <f>SUM(G93:G95)</f>
        <v>556771</v>
      </c>
      <c r="H92" s="69">
        <f>SUM(H93:H95)</f>
        <v>-93476.6</v>
      </c>
      <c r="I92" s="69">
        <f>SUM(I93:I95)</f>
        <v>463294.39999999997</v>
      </c>
      <c r="J92" s="69">
        <v>1209655.1000000001</v>
      </c>
      <c r="K92" s="69">
        <f>-192241.879482095+1467</f>
        <v>-190774.87948209501</v>
      </c>
      <c r="L92" s="69">
        <f>+J92+K92</f>
        <v>1018880.2205179051</v>
      </c>
      <c r="M92" s="70">
        <v>-856799.88</v>
      </c>
      <c r="N92" s="70"/>
      <c r="O92" s="70"/>
      <c r="P92" s="70"/>
      <c r="Q92" s="70">
        <v>-5417.45</v>
      </c>
      <c r="R92" s="70">
        <f>+Q92+M92</f>
        <v>-862217.33</v>
      </c>
      <c r="S92" s="104">
        <f>+I92+R92</f>
        <v>-398922.93</v>
      </c>
      <c r="T92" s="104">
        <f>+L92+R92</f>
        <v>156662.89051790512</v>
      </c>
      <c r="U92" s="104">
        <f>+I92+M92</f>
        <v>-393505.48000000004</v>
      </c>
      <c r="V92" s="104">
        <f>+L92+M92</f>
        <v>162080.34051790508</v>
      </c>
      <c r="W92" s="71">
        <f>SUM(W93:W95)</f>
        <v>134</v>
      </c>
      <c r="X92" s="71">
        <f t="shared" ref="X92:AA92" si="36">SUM(X93:X95)</f>
        <v>137</v>
      </c>
      <c r="Y92" s="71">
        <f t="shared" si="36"/>
        <v>126</v>
      </c>
      <c r="Z92" s="71">
        <f t="shared" si="36"/>
        <v>120</v>
      </c>
      <c r="AA92" s="71">
        <f t="shared" si="36"/>
        <v>93</v>
      </c>
      <c r="AB92" s="72">
        <f>+(AA92-W92)/W92</f>
        <v>-0.30597014925373134</v>
      </c>
      <c r="AD92" s="107"/>
      <c r="AE92" s="107"/>
      <c r="AF92" s="108"/>
      <c r="AG92" s="107"/>
      <c r="AH92" s="81">
        <v>1</v>
      </c>
    </row>
    <row r="93" spans="1:34" x14ac:dyDescent="0.15">
      <c r="A93" s="73" t="s">
        <v>62</v>
      </c>
      <c r="B93" s="73" t="s">
        <v>63</v>
      </c>
      <c r="C93" s="73" t="s">
        <v>113</v>
      </c>
      <c r="D93" s="73" t="s">
        <v>114</v>
      </c>
      <c r="E93" s="73" t="s">
        <v>54</v>
      </c>
      <c r="F93" s="73" t="s">
        <v>6</v>
      </c>
      <c r="G93" s="74">
        <v>397.6</v>
      </c>
      <c r="H93" s="75"/>
      <c r="I93" s="75">
        <v>397.6</v>
      </c>
      <c r="J93" s="76"/>
      <c r="K93" s="76"/>
      <c r="L93" s="76"/>
      <c r="M93" s="77"/>
      <c r="N93" s="77"/>
      <c r="O93" s="77"/>
      <c r="P93" s="77"/>
      <c r="Q93" s="77"/>
      <c r="R93" s="77"/>
      <c r="S93" s="78"/>
      <c r="T93" s="78"/>
      <c r="U93" s="78"/>
      <c r="V93" s="78"/>
      <c r="W93" s="32">
        <v>1</v>
      </c>
      <c r="X93" s="32">
        <v>1</v>
      </c>
      <c r="Y93" s="32">
        <v>1</v>
      </c>
      <c r="Z93" s="32">
        <v>1</v>
      </c>
      <c r="AA93" s="32"/>
      <c r="AB93" s="21">
        <f t="shared" ref="AB93:AB95" si="37">+(AA93-W93)/W93</f>
        <v>-1</v>
      </c>
      <c r="AC93" s="33">
        <f>+AA93/AA92</f>
        <v>0</v>
      </c>
      <c r="AD93" s="109"/>
      <c r="AE93" s="109"/>
      <c r="AF93" s="110">
        <f>+AB93/AB92</f>
        <v>3.2682926829268295</v>
      </c>
      <c r="AG93" s="109"/>
      <c r="AH93" s="82">
        <v>3</v>
      </c>
    </row>
    <row r="94" spans="1:34" x14ac:dyDescent="0.15">
      <c r="A94" s="73" t="s">
        <v>62</v>
      </c>
      <c r="B94" s="73" t="s">
        <v>195</v>
      </c>
      <c r="C94" s="73" t="s">
        <v>295</v>
      </c>
      <c r="D94" s="73" t="s">
        <v>296</v>
      </c>
      <c r="E94" s="73" t="s">
        <v>54</v>
      </c>
      <c r="F94" s="73" t="s">
        <v>6</v>
      </c>
      <c r="G94" s="74">
        <v>398</v>
      </c>
      <c r="H94" s="75"/>
      <c r="I94" s="75">
        <v>398</v>
      </c>
      <c r="J94" s="76"/>
      <c r="K94" s="76"/>
      <c r="L94" s="76"/>
      <c r="M94" s="77"/>
      <c r="N94" s="77"/>
      <c r="O94" s="77"/>
      <c r="P94" s="77"/>
      <c r="Q94" s="77"/>
      <c r="R94" s="77"/>
      <c r="S94" s="78"/>
      <c r="T94" s="78"/>
      <c r="U94" s="78"/>
      <c r="V94" s="78"/>
      <c r="W94" s="25">
        <v>7</v>
      </c>
      <c r="X94" s="25">
        <v>10</v>
      </c>
      <c r="Y94" s="25">
        <v>9</v>
      </c>
      <c r="Z94" s="32">
        <v>6</v>
      </c>
      <c r="AA94" s="32">
        <v>2</v>
      </c>
      <c r="AB94" s="21">
        <f t="shared" si="37"/>
        <v>-0.7142857142857143</v>
      </c>
      <c r="AC94" s="33">
        <f>+AA94/AA92</f>
        <v>2.1505376344086023E-2</v>
      </c>
      <c r="AD94" s="109"/>
      <c r="AE94" s="109"/>
      <c r="AF94" s="110">
        <f>+AB94/AB92</f>
        <v>2.3344947735191637</v>
      </c>
      <c r="AG94" s="109"/>
      <c r="AH94" s="82">
        <v>3</v>
      </c>
    </row>
    <row r="95" spans="1:34" x14ac:dyDescent="0.15">
      <c r="A95" s="73" t="s">
        <v>321</v>
      </c>
      <c r="B95" s="73" t="s">
        <v>322</v>
      </c>
      <c r="C95" s="73" t="s">
        <v>436</v>
      </c>
      <c r="D95" s="73" t="s">
        <v>437</v>
      </c>
      <c r="E95" s="73" t="s">
        <v>54</v>
      </c>
      <c r="F95" s="73" t="s">
        <v>6</v>
      </c>
      <c r="G95" s="74">
        <v>555975.4</v>
      </c>
      <c r="H95" s="75">
        <v>-93476.6</v>
      </c>
      <c r="I95" s="75">
        <v>462498.8</v>
      </c>
      <c r="J95" s="76"/>
      <c r="K95" s="76"/>
      <c r="L95" s="76"/>
      <c r="M95" s="77"/>
      <c r="N95" s="77"/>
      <c r="O95" s="77"/>
      <c r="P95" s="77"/>
      <c r="Q95" s="77"/>
      <c r="R95" s="77"/>
      <c r="S95" s="78"/>
      <c r="T95" s="78"/>
      <c r="U95" s="78"/>
      <c r="V95" s="78"/>
      <c r="W95" s="25">
        <v>126</v>
      </c>
      <c r="X95" s="25">
        <v>126</v>
      </c>
      <c r="Y95" s="32">
        <v>116</v>
      </c>
      <c r="Z95" s="32">
        <v>113</v>
      </c>
      <c r="AA95" s="32">
        <v>91</v>
      </c>
      <c r="AB95" s="21">
        <f t="shared" si="37"/>
        <v>-0.27777777777777779</v>
      </c>
      <c r="AC95" s="33">
        <f>+AA95/AA92</f>
        <v>0.978494623655914</v>
      </c>
      <c r="AD95" s="109"/>
      <c r="AE95" s="109"/>
      <c r="AF95" s="110">
        <f>+AB95/AB92</f>
        <v>0.90785907859078596</v>
      </c>
      <c r="AG95" s="109"/>
      <c r="AH95" s="82">
        <v>1</v>
      </c>
    </row>
    <row r="96" spans="1:34" s="11" customFormat="1" x14ac:dyDescent="0.15">
      <c r="A96" s="67"/>
      <c r="B96" s="67" t="s">
        <v>0</v>
      </c>
      <c r="C96" s="67" t="s">
        <v>0</v>
      </c>
      <c r="D96" s="67" t="s">
        <v>0</v>
      </c>
      <c r="E96" s="67" t="s">
        <v>463</v>
      </c>
      <c r="F96" s="67" t="s">
        <v>23</v>
      </c>
      <c r="G96" s="68"/>
      <c r="H96" s="69"/>
      <c r="I96" s="69"/>
      <c r="J96" s="69">
        <v>2036190</v>
      </c>
      <c r="K96" s="69">
        <v>-1050309.12294461</v>
      </c>
      <c r="L96" s="69">
        <f>+J96+K96</f>
        <v>985880.87705539004</v>
      </c>
      <c r="M96" s="70"/>
      <c r="N96" s="70"/>
      <c r="O96" s="70"/>
      <c r="P96" s="70"/>
      <c r="Q96" s="70"/>
      <c r="R96" s="70"/>
      <c r="S96" s="104"/>
      <c r="T96" s="104"/>
      <c r="U96" s="104"/>
      <c r="V96" s="104"/>
      <c r="W96" s="71"/>
      <c r="X96" s="71"/>
      <c r="Y96" s="71"/>
      <c r="Z96" s="71"/>
      <c r="AA96" s="71"/>
      <c r="AB96" s="72"/>
      <c r="AD96" s="107"/>
      <c r="AE96" s="107"/>
      <c r="AF96" s="108"/>
      <c r="AG96" s="107"/>
      <c r="AH96" s="81">
        <v>1</v>
      </c>
    </row>
    <row r="97" spans="1:34" s="11" customFormat="1" x14ac:dyDescent="0.15">
      <c r="A97" s="67"/>
      <c r="B97" s="67" t="s">
        <v>0</v>
      </c>
      <c r="C97" s="67" t="s">
        <v>0</v>
      </c>
      <c r="D97" s="67" t="s">
        <v>0</v>
      </c>
      <c r="E97" s="67" t="s">
        <v>22</v>
      </c>
      <c r="F97" s="67" t="s">
        <v>23</v>
      </c>
      <c r="G97" s="68">
        <v>932525.32</v>
      </c>
      <c r="H97" s="69">
        <v>-268251.52000000002</v>
      </c>
      <c r="I97" s="69">
        <v>664273.80000000005</v>
      </c>
      <c r="J97" s="69">
        <v>699473.34</v>
      </c>
      <c r="K97" s="69">
        <v>-200248.616162975</v>
      </c>
      <c r="L97" s="69">
        <f>+J97+K97</f>
        <v>499224.723837025</v>
      </c>
      <c r="M97" s="70">
        <v>-501007.92</v>
      </c>
      <c r="N97" s="70"/>
      <c r="O97" s="70"/>
      <c r="P97" s="70"/>
      <c r="Q97" s="70"/>
      <c r="R97" s="70">
        <f>+Q97+M97</f>
        <v>-501007.92</v>
      </c>
      <c r="S97" s="104">
        <f>+I97+R97</f>
        <v>163265.88000000006</v>
      </c>
      <c r="T97" s="104">
        <f>+L97+R97</f>
        <v>-1783.1961629749858</v>
      </c>
      <c r="U97" s="104">
        <f>+I97+M97</f>
        <v>163265.88000000006</v>
      </c>
      <c r="V97" s="104">
        <f>+L97+M97</f>
        <v>-1783.1961629749858</v>
      </c>
      <c r="W97" s="71">
        <f>+W98</f>
        <v>72</v>
      </c>
      <c r="X97" s="71">
        <f t="shared" ref="X97:AA97" si="38">+X98</f>
        <v>73</v>
      </c>
      <c r="Y97" s="71">
        <f t="shared" si="38"/>
        <v>64</v>
      </c>
      <c r="Z97" s="71">
        <f t="shared" si="38"/>
        <v>69</v>
      </c>
      <c r="AA97" s="71">
        <f t="shared" si="38"/>
        <v>70</v>
      </c>
      <c r="AB97" s="72">
        <f>+(AA97-W97)/W97</f>
        <v>-2.7777777777777776E-2</v>
      </c>
      <c r="AD97" s="107"/>
      <c r="AE97" s="107"/>
      <c r="AF97" s="108"/>
      <c r="AG97" s="107"/>
      <c r="AH97" s="81">
        <v>1</v>
      </c>
    </row>
    <row r="98" spans="1:34" x14ac:dyDescent="0.15">
      <c r="A98" s="73" t="s">
        <v>321</v>
      </c>
      <c r="B98" s="73" t="s">
        <v>322</v>
      </c>
      <c r="C98" s="73" t="s">
        <v>349</v>
      </c>
      <c r="D98" s="73" t="s">
        <v>350</v>
      </c>
      <c r="E98" s="73" t="s">
        <v>22</v>
      </c>
      <c r="F98" s="73" t="s">
        <v>23</v>
      </c>
      <c r="G98" s="74">
        <v>932525.32</v>
      </c>
      <c r="H98" s="75">
        <v>-268251.52000000002</v>
      </c>
      <c r="I98" s="75">
        <v>664273.80000000005</v>
      </c>
      <c r="J98" s="76"/>
      <c r="K98" s="76"/>
      <c r="L98" s="76"/>
      <c r="M98" s="77"/>
      <c r="N98" s="77"/>
      <c r="O98" s="77"/>
      <c r="P98" s="77"/>
      <c r="Q98" s="77"/>
      <c r="R98" s="77"/>
      <c r="S98" s="78"/>
      <c r="T98" s="78"/>
      <c r="U98" s="78"/>
      <c r="V98" s="78"/>
      <c r="W98" s="25">
        <v>72</v>
      </c>
      <c r="X98" s="25">
        <v>73</v>
      </c>
      <c r="Y98" s="32">
        <v>64</v>
      </c>
      <c r="Z98" s="32">
        <v>69</v>
      </c>
      <c r="AA98" s="32">
        <v>70</v>
      </c>
      <c r="AB98" s="10"/>
      <c r="AD98" s="109"/>
      <c r="AE98" s="109"/>
      <c r="AF98" s="110">
        <f>+AB98/AB97</f>
        <v>0</v>
      </c>
      <c r="AG98" s="109"/>
      <c r="AH98" s="82">
        <v>1</v>
      </c>
    </row>
    <row r="99" spans="1:34" s="11" customFormat="1" x14ac:dyDescent="0.15">
      <c r="A99" s="67"/>
      <c r="B99" s="67" t="s">
        <v>0</v>
      </c>
      <c r="C99" s="67" t="s">
        <v>0</v>
      </c>
      <c r="D99" s="67" t="s">
        <v>0</v>
      </c>
      <c r="E99" s="67" t="s">
        <v>40</v>
      </c>
      <c r="F99" s="67" t="s">
        <v>23</v>
      </c>
      <c r="G99" s="68" t="e">
        <f ca="1">SUM(G100:G106)+_xlfn.SINGLE(SUM(G109:G113))</f>
        <v>#NAME?</v>
      </c>
      <c r="H99" s="69" t="e">
        <f ca="1">SUM(H100:H106)+_xlfn.SINGLE(SUM(H109:H113))</f>
        <v>#NAME?</v>
      </c>
      <c r="I99" s="69">
        <f t="shared" ref="I99" si="39">SUM(I100:I113)</f>
        <v>1750793.4849999999</v>
      </c>
      <c r="J99" s="69">
        <v>2526342.7949999999</v>
      </c>
      <c r="K99" s="69">
        <v>-217330.82074949201</v>
      </c>
      <c r="L99" s="69">
        <f>+J99+K99</f>
        <v>2309011.974250508</v>
      </c>
      <c r="M99" s="70">
        <f>-2208116.38</f>
        <v>-2208116.38</v>
      </c>
      <c r="N99" s="70"/>
      <c r="O99" s="70"/>
      <c r="P99" s="70"/>
      <c r="Q99" s="70">
        <f>-117399.86-5293.82-100</f>
        <v>-122793.68</v>
      </c>
      <c r="R99" s="70">
        <f>+Q99+M99</f>
        <v>-2330910.06</v>
      </c>
      <c r="S99" s="104">
        <f>+I99+R99</f>
        <v>-580116.57500000019</v>
      </c>
      <c r="T99" s="104">
        <f>+L99+R99</f>
        <v>-21898.085749492049</v>
      </c>
      <c r="U99" s="104">
        <f>+I99+M99</f>
        <v>-457322.89500000002</v>
      </c>
      <c r="V99" s="104">
        <f>+L99+M99</f>
        <v>100895.59425050812</v>
      </c>
      <c r="W99" s="71">
        <f t="shared" ref="W99:Z99" si="40">SUM(W100:W113)</f>
        <v>240</v>
      </c>
      <c r="X99" s="71">
        <f t="shared" si="40"/>
        <v>238</v>
      </c>
      <c r="Y99" s="71">
        <f t="shared" si="40"/>
        <v>240</v>
      </c>
      <c r="Z99" s="71">
        <f t="shared" si="40"/>
        <v>243</v>
      </c>
      <c r="AA99" s="71">
        <f>SUM(AA100:AA113)</f>
        <v>253</v>
      </c>
      <c r="AB99" s="72">
        <f>+(AA99-W99)/W99</f>
        <v>5.4166666666666669E-2</v>
      </c>
      <c r="AD99" s="107"/>
      <c r="AE99" s="107"/>
      <c r="AF99" s="108"/>
      <c r="AG99" s="107"/>
      <c r="AH99" s="81">
        <v>1</v>
      </c>
    </row>
    <row r="100" spans="1:34" x14ac:dyDescent="0.15">
      <c r="A100" s="73" t="s">
        <v>62</v>
      </c>
      <c r="B100" s="73" t="s">
        <v>63</v>
      </c>
      <c r="C100" s="73" t="s">
        <v>97</v>
      </c>
      <c r="D100" s="73" t="s">
        <v>98</v>
      </c>
      <c r="E100" s="73" t="s">
        <v>40</v>
      </c>
      <c r="F100" s="73" t="s">
        <v>23</v>
      </c>
      <c r="G100" s="74">
        <v>27669.9</v>
      </c>
      <c r="H100" s="75">
        <v>-25236.2</v>
      </c>
      <c r="I100" s="75">
        <v>2433.6999999999998</v>
      </c>
      <c r="J100" s="76"/>
      <c r="K100" s="76"/>
      <c r="L100" s="76"/>
      <c r="M100" s="77"/>
      <c r="N100" s="77"/>
      <c r="O100" s="77"/>
      <c r="P100" s="77"/>
      <c r="Q100" s="77"/>
      <c r="R100" s="77"/>
      <c r="S100" s="78"/>
      <c r="T100" s="78"/>
      <c r="U100" s="78"/>
      <c r="V100" s="78"/>
      <c r="W100" s="32">
        <v>3</v>
      </c>
      <c r="X100" s="32">
        <v>2</v>
      </c>
      <c r="Y100" s="32">
        <v>2</v>
      </c>
      <c r="Z100" s="32">
        <v>2</v>
      </c>
      <c r="AA100" s="32">
        <v>2</v>
      </c>
      <c r="AB100" s="21">
        <f t="shared" ref="AB100:AB113" si="41">+(AA100-W100)/W100</f>
        <v>-0.33333333333333331</v>
      </c>
      <c r="AC100" s="33">
        <f>+AA100/AA99</f>
        <v>7.9051383399209481E-3</v>
      </c>
      <c r="AD100" s="109"/>
      <c r="AE100" s="109"/>
      <c r="AF100" s="110">
        <f>+AB100/AB99</f>
        <v>-6.1538461538461533</v>
      </c>
      <c r="AG100" s="109"/>
      <c r="AH100" s="82">
        <v>1</v>
      </c>
    </row>
    <row r="101" spans="1:34" x14ac:dyDescent="0.15">
      <c r="A101" s="73" t="s">
        <v>62</v>
      </c>
      <c r="B101" s="73" t="s">
        <v>117</v>
      </c>
      <c r="C101" s="73" t="s">
        <v>127</v>
      </c>
      <c r="D101" s="73" t="s">
        <v>128</v>
      </c>
      <c r="E101" s="73" t="s">
        <v>40</v>
      </c>
      <c r="F101" s="73" t="s">
        <v>23</v>
      </c>
      <c r="G101" s="74">
        <v>177103.5</v>
      </c>
      <c r="H101" s="75">
        <v>-81468.800000000003</v>
      </c>
      <c r="I101" s="75">
        <v>95634.7</v>
      </c>
      <c r="J101" s="76"/>
      <c r="K101" s="76"/>
      <c r="L101" s="76"/>
      <c r="M101" s="77"/>
      <c r="N101" s="77"/>
      <c r="O101" s="77"/>
      <c r="P101" s="77"/>
      <c r="Q101" s="77"/>
      <c r="R101" s="77"/>
      <c r="S101" s="78"/>
      <c r="T101" s="78"/>
      <c r="U101" s="78"/>
      <c r="V101" s="78"/>
      <c r="W101" s="25">
        <v>21</v>
      </c>
      <c r="X101" s="25">
        <v>23</v>
      </c>
      <c r="Y101" s="25">
        <v>17</v>
      </c>
      <c r="Z101" s="32">
        <v>15</v>
      </c>
      <c r="AA101" s="32">
        <v>14</v>
      </c>
      <c r="AB101" s="21">
        <f t="shared" si="41"/>
        <v>-0.33333333333333331</v>
      </c>
      <c r="AC101" s="33">
        <f>+AA101/AA99</f>
        <v>5.533596837944664E-2</v>
      </c>
      <c r="AD101" s="109"/>
      <c r="AE101" s="109"/>
      <c r="AF101" s="110">
        <f>+AB101/AB99</f>
        <v>-6.1538461538461533</v>
      </c>
      <c r="AG101" s="109"/>
      <c r="AH101" s="82">
        <v>1</v>
      </c>
    </row>
    <row r="102" spans="1:34" x14ac:dyDescent="0.15">
      <c r="A102" s="73" t="s">
        <v>62</v>
      </c>
      <c r="B102" s="73" t="s">
        <v>195</v>
      </c>
      <c r="C102" s="73" t="s">
        <v>262</v>
      </c>
      <c r="D102" s="73" t="s">
        <v>263</v>
      </c>
      <c r="E102" s="73" t="s">
        <v>40</v>
      </c>
      <c r="F102" s="73" t="s">
        <v>23</v>
      </c>
      <c r="G102" s="74">
        <v>257739.8</v>
      </c>
      <c r="H102" s="75">
        <v>-100042.9</v>
      </c>
      <c r="I102" s="75">
        <v>157696.9</v>
      </c>
      <c r="J102" s="76"/>
      <c r="K102" s="76"/>
      <c r="L102" s="76"/>
      <c r="M102" s="77"/>
      <c r="N102" s="77"/>
      <c r="O102" s="77"/>
      <c r="P102" s="77"/>
      <c r="Q102" s="77"/>
      <c r="R102" s="77"/>
      <c r="S102" s="78"/>
      <c r="T102" s="78"/>
      <c r="U102" s="78"/>
      <c r="V102" s="78"/>
      <c r="W102" s="25">
        <v>12</v>
      </c>
      <c r="X102" s="25">
        <v>11</v>
      </c>
      <c r="Y102" s="25">
        <v>9</v>
      </c>
      <c r="Z102" s="32">
        <v>9</v>
      </c>
      <c r="AA102" s="32">
        <v>16</v>
      </c>
      <c r="AB102" s="21">
        <f t="shared" si="41"/>
        <v>0.33333333333333331</v>
      </c>
      <c r="AC102" s="33">
        <f>+AA102/$AA$99</f>
        <v>6.3241106719367585E-2</v>
      </c>
      <c r="AD102" s="109"/>
      <c r="AE102" s="109"/>
      <c r="AF102" s="110">
        <f>+AB102/$U$99</f>
        <v>-7.2887960995990216E-7</v>
      </c>
      <c r="AG102" s="109"/>
      <c r="AH102" s="83">
        <v>1</v>
      </c>
    </row>
    <row r="103" spans="1:34" x14ac:dyDescent="0.15">
      <c r="A103" s="73" t="s">
        <v>62</v>
      </c>
      <c r="B103" s="73" t="s">
        <v>195</v>
      </c>
      <c r="C103" s="73" t="s">
        <v>264</v>
      </c>
      <c r="D103" s="73" t="s">
        <v>265</v>
      </c>
      <c r="E103" s="73" t="s">
        <v>40</v>
      </c>
      <c r="F103" s="73" t="s">
        <v>23</v>
      </c>
      <c r="G103" s="74">
        <v>18887.900000000001</v>
      </c>
      <c r="H103" s="75"/>
      <c r="I103" s="75">
        <v>18887.900000000001</v>
      </c>
      <c r="J103" s="76"/>
      <c r="K103" s="76"/>
      <c r="L103" s="76"/>
      <c r="M103" s="77"/>
      <c r="N103" s="77"/>
      <c r="O103" s="77"/>
      <c r="P103" s="77"/>
      <c r="Q103" s="77"/>
      <c r="R103" s="77"/>
      <c r="S103" s="78"/>
      <c r="T103" s="78"/>
      <c r="U103" s="78"/>
      <c r="V103" s="78"/>
      <c r="W103" s="25">
        <v>16</v>
      </c>
      <c r="X103" s="25">
        <v>19</v>
      </c>
      <c r="Y103" s="25">
        <v>25</v>
      </c>
      <c r="Z103" s="32">
        <v>23</v>
      </c>
      <c r="AA103" s="32">
        <v>21</v>
      </c>
      <c r="AB103" s="21">
        <f t="shared" si="41"/>
        <v>0.3125</v>
      </c>
      <c r="AC103" s="33">
        <f t="shared" ref="AC103:AC113" si="42">+AA103/$AA$99</f>
        <v>8.3003952569169967E-2</v>
      </c>
      <c r="AD103" s="109"/>
      <c r="AE103" s="109"/>
      <c r="AF103" s="110">
        <f t="shared" ref="AF103:AF113" si="43">+AB103/$U$99</f>
        <v>-6.8332463433740836E-7</v>
      </c>
      <c r="AG103" s="109"/>
      <c r="AH103" s="82">
        <v>1</v>
      </c>
    </row>
    <row r="104" spans="1:34" x14ac:dyDescent="0.15">
      <c r="A104" s="73" t="s">
        <v>62</v>
      </c>
      <c r="B104" s="73" t="s">
        <v>195</v>
      </c>
      <c r="C104" s="73" t="s">
        <v>271</v>
      </c>
      <c r="D104" s="73" t="s">
        <v>272</v>
      </c>
      <c r="E104" s="73" t="s">
        <v>40</v>
      </c>
      <c r="F104" s="73" t="s">
        <v>23</v>
      </c>
      <c r="G104" s="74">
        <v>50627.9</v>
      </c>
      <c r="H104" s="75">
        <v>-30413.1</v>
      </c>
      <c r="I104" s="75">
        <v>20214.8</v>
      </c>
      <c r="J104" s="76"/>
      <c r="K104" s="76"/>
      <c r="L104" s="76"/>
      <c r="M104" s="77"/>
      <c r="N104" s="77"/>
      <c r="O104" s="77"/>
      <c r="P104" s="77"/>
      <c r="Q104" s="77"/>
      <c r="R104" s="77"/>
      <c r="S104" s="78"/>
      <c r="T104" s="78"/>
      <c r="U104" s="78"/>
      <c r="V104" s="78"/>
      <c r="W104" s="25">
        <v>7</v>
      </c>
      <c r="X104" s="25">
        <v>6</v>
      </c>
      <c r="Y104" s="25">
        <v>3</v>
      </c>
      <c r="Z104" s="32">
        <v>2</v>
      </c>
      <c r="AA104" s="32">
        <v>4</v>
      </c>
      <c r="AB104" s="21">
        <f t="shared" si="41"/>
        <v>-0.42857142857142855</v>
      </c>
      <c r="AC104" s="33">
        <f t="shared" si="42"/>
        <v>1.5810276679841896E-2</v>
      </c>
      <c r="AD104" s="109"/>
      <c r="AE104" s="109"/>
      <c r="AF104" s="110">
        <f t="shared" si="43"/>
        <v>9.371309270913028E-7</v>
      </c>
      <c r="AG104" s="109"/>
      <c r="AH104" s="82">
        <v>1</v>
      </c>
    </row>
    <row r="105" spans="1:34" x14ac:dyDescent="0.15">
      <c r="A105" s="73" t="s">
        <v>62</v>
      </c>
      <c r="B105" s="73" t="s">
        <v>195</v>
      </c>
      <c r="C105" s="73" t="s">
        <v>273</v>
      </c>
      <c r="D105" s="73" t="s">
        <v>274</v>
      </c>
      <c r="E105" s="73" t="s">
        <v>40</v>
      </c>
      <c r="F105" s="73" t="s">
        <v>23</v>
      </c>
      <c r="G105" s="74">
        <v>25943.83</v>
      </c>
      <c r="H105" s="75">
        <v>-11617.81</v>
      </c>
      <c r="I105" s="75">
        <v>14326.02</v>
      </c>
      <c r="J105" s="76"/>
      <c r="K105" s="76"/>
      <c r="L105" s="76"/>
      <c r="M105" s="77"/>
      <c r="N105" s="77"/>
      <c r="O105" s="77"/>
      <c r="P105" s="77"/>
      <c r="Q105" s="77"/>
      <c r="R105" s="77"/>
      <c r="S105" s="78"/>
      <c r="T105" s="78"/>
      <c r="U105" s="78"/>
      <c r="V105" s="78"/>
      <c r="W105" s="25">
        <v>11</v>
      </c>
      <c r="X105" s="25">
        <v>12</v>
      </c>
      <c r="Y105" s="25">
        <v>12</v>
      </c>
      <c r="Z105" s="32">
        <v>10</v>
      </c>
      <c r="AA105" s="32">
        <v>12</v>
      </c>
      <c r="AB105" s="21">
        <f t="shared" si="41"/>
        <v>9.0909090909090912E-2</v>
      </c>
      <c r="AC105" s="33">
        <f t="shared" si="42"/>
        <v>4.7430830039525688E-2</v>
      </c>
      <c r="AD105" s="109"/>
      <c r="AE105" s="109"/>
      <c r="AF105" s="110">
        <f t="shared" si="43"/>
        <v>-1.9878534817088242E-7</v>
      </c>
      <c r="AG105" s="109"/>
      <c r="AH105" s="82">
        <v>1</v>
      </c>
    </row>
    <row r="106" spans="1:34" x14ac:dyDescent="0.15">
      <c r="A106" s="73" t="s">
        <v>62</v>
      </c>
      <c r="B106" s="73" t="s">
        <v>195</v>
      </c>
      <c r="C106" s="73" t="s">
        <v>266</v>
      </c>
      <c r="D106" s="73" t="s">
        <v>267</v>
      </c>
      <c r="E106" s="73" t="s">
        <v>40</v>
      </c>
      <c r="F106" s="73" t="s">
        <v>23</v>
      </c>
      <c r="G106" s="74">
        <f>SUM(G107:G108)</f>
        <v>170357</v>
      </c>
      <c r="H106" s="75">
        <f t="shared" ref="H106:I106" si="44">SUM(H107:H108)</f>
        <v>-47362.799999999996</v>
      </c>
      <c r="I106" s="75">
        <f t="shared" si="44"/>
        <v>122994.2</v>
      </c>
      <c r="J106" s="76"/>
      <c r="K106" s="76"/>
      <c r="L106" s="76"/>
      <c r="M106" s="77"/>
      <c r="N106" s="77"/>
      <c r="O106" s="77"/>
      <c r="P106" s="77"/>
      <c r="Q106" s="77"/>
      <c r="R106" s="77"/>
      <c r="S106" s="78"/>
      <c r="T106" s="78"/>
      <c r="U106" s="78"/>
      <c r="V106" s="78"/>
      <c r="W106" s="25">
        <v>14</v>
      </c>
      <c r="X106" s="25">
        <v>11</v>
      </c>
      <c r="Y106" s="25">
        <v>5</v>
      </c>
      <c r="Z106" s="32">
        <v>4</v>
      </c>
      <c r="AA106" s="32">
        <v>9</v>
      </c>
      <c r="AB106" s="21">
        <f t="shared" si="41"/>
        <v>-0.35714285714285715</v>
      </c>
      <c r="AC106" s="33">
        <f t="shared" si="42"/>
        <v>3.5573122529644272E-2</v>
      </c>
      <c r="AD106" s="109"/>
      <c r="AE106" s="109"/>
      <c r="AF106" s="110">
        <f t="shared" si="43"/>
        <v>7.8094243924275245E-7</v>
      </c>
      <c r="AG106" s="109"/>
      <c r="AH106" s="83">
        <v>1</v>
      </c>
    </row>
    <row r="107" spans="1:34" x14ac:dyDescent="0.15">
      <c r="A107" s="73" t="s">
        <v>62</v>
      </c>
      <c r="B107" s="73" t="s">
        <v>195</v>
      </c>
      <c r="C107" s="73" t="s">
        <v>266</v>
      </c>
      <c r="D107" s="73" t="s">
        <v>269</v>
      </c>
      <c r="E107" s="73" t="s">
        <v>40</v>
      </c>
      <c r="F107" s="73" t="s">
        <v>23</v>
      </c>
      <c r="G107" s="74">
        <v>87666.7</v>
      </c>
      <c r="H107" s="75">
        <v>-35413.699999999997</v>
      </c>
      <c r="I107" s="75">
        <v>52253</v>
      </c>
      <c r="J107" s="76"/>
      <c r="K107" s="76"/>
      <c r="L107" s="76"/>
      <c r="M107" s="77"/>
      <c r="N107" s="77"/>
      <c r="O107" s="77"/>
      <c r="P107" s="77"/>
      <c r="Q107" s="77"/>
      <c r="R107" s="77"/>
      <c r="S107" s="78"/>
      <c r="T107" s="78"/>
      <c r="U107" s="78"/>
      <c r="V107" s="78"/>
      <c r="W107" s="99"/>
      <c r="X107" s="99"/>
      <c r="Y107" s="99"/>
      <c r="Z107" s="99"/>
      <c r="AA107" s="99"/>
      <c r="AB107" s="21"/>
      <c r="AC107" s="33">
        <f t="shared" si="42"/>
        <v>0</v>
      </c>
      <c r="AD107" s="109"/>
      <c r="AE107" s="109"/>
      <c r="AF107" s="110">
        <f t="shared" si="43"/>
        <v>0</v>
      </c>
      <c r="AG107" s="109"/>
      <c r="AH107" s="82">
        <v>1</v>
      </c>
    </row>
    <row r="108" spans="1:34" x14ac:dyDescent="0.15">
      <c r="A108" s="73" t="s">
        <v>62</v>
      </c>
      <c r="B108" s="73" t="s">
        <v>195</v>
      </c>
      <c r="C108" s="73" t="s">
        <v>266</v>
      </c>
      <c r="D108" s="73" t="s">
        <v>267</v>
      </c>
      <c r="E108" s="73" t="s">
        <v>40</v>
      </c>
      <c r="F108" s="73" t="s">
        <v>23</v>
      </c>
      <c r="G108" s="74">
        <v>82690.3</v>
      </c>
      <c r="H108" s="75">
        <v>-11949.1</v>
      </c>
      <c r="I108" s="75">
        <v>70741.2</v>
      </c>
      <c r="J108" s="76"/>
      <c r="K108" s="76"/>
      <c r="L108" s="76"/>
      <c r="M108" s="77"/>
      <c r="N108" s="77"/>
      <c r="O108" s="77"/>
      <c r="P108" s="77"/>
      <c r="Q108" s="77"/>
      <c r="R108" s="77"/>
      <c r="S108" s="78"/>
      <c r="T108" s="78"/>
      <c r="U108" s="78"/>
      <c r="V108" s="78"/>
      <c r="W108" s="29"/>
      <c r="X108" s="29"/>
      <c r="Y108" s="29"/>
      <c r="Z108" s="99"/>
      <c r="AA108" s="99"/>
      <c r="AB108" s="21"/>
      <c r="AC108" s="33">
        <f t="shared" si="42"/>
        <v>0</v>
      </c>
      <c r="AD108" s="109"/>
      <c r="AE108" s="109"/>
      <c r="AF108" s="110">
        <f t="shared" si="43"/>
        <v>0</v>
      </c>
      <c r="AG108" s="109"/>
      <c r="AH108" s="83">
        <v>1</v>
      </c>
    </row>
    <row r="109" spans="1:34" x14ac:dyDescent="0.15">
      <c r="A109" s="73" t="s">
        <v>321</v>
      </c>
      <c r="B109" s="73" t="s">
        <v>322</v>
      </c>
      <c r="C109" s="73" t="s">
        <v>387</v>
      </c>
      <c r="D109" s="73" t="s">
        <v>388</v>
      </c>
      <c r="E109" s="73" t="s">
        <v>40</v>
      </c>
      <c r="F109" s="73" t="s">
        <v>23</v>
      </c>
      <c r="G109" s="74">
        <v>418650</v>
      </c>
      <c r="H109" s="75">
        <v>-128072.36</v>
      </c>
      <c r="I109" s="75">
        <v>290577.64</v>
      </c>
      <c r="J109" s="76"/>
      <c r="K109" s="76"/>
      <c r="L109" s="76"/>
      <c r="M109" s="77"/>
      <c r="N109" s="77"/>
      <c r="O109" s="77"/>
      <c r="P109" s="77"/>
      <c r="Q109" s="77"/>
      <c r="R109" s="77"/>
      <c r="S109" s="78"/>
      <c r="T109" s="78"/>
      <c r="U109" s="78"/>
      <c r="V109" s="78"/>
      <c r="W109" s="25">
        <v>35</v>
      </c>
      <c r="X109" s="25">
        <v>30</v>
      </c>
      <c r="Y109" s="32">
        <v>32</v>
      </c>
      <c r="Z109" s="32">
        <v>40</v>
      </c>
      <c r="AA109" s="32">
        <v>42</v>
      </c>
      <c r="AB109" s="21">
        <f t="shared" si="41"/>
        <v>0.2</v>
      </c>
      <c r="AC109" s="33">
        <f t="shared" si="42"/>
        <v>0.16600790513833993</v>
      </c>
      <c r="AD109" s="109"/>
      <c r="AE109" s="109"/>
      <c r="AF109" s="110">
        <f t="shared" si="43"/>
        <v>-4.3732776597594136E-7</v>
      </c>
      <c r="AG109" s="109"/>
      <c r="AH109" s="82">
        <v>1</v>
      </c>
    </row>
    <row r="110" spans="1:34" x14ac:dyDescent="0.15">
      <c r="A110" s="73" t="s">
        <v>321</v>
      </c>
      <c r="B110" s="73" t="s">
        <v>322</v>
      </c>
      <c r="C110" s="73" t="s">
        <v>408</v>
      </c>
      <c r="D110" s="73" t="s">
        <v>409</v>
      </c>
      <c r="E110" s="73" t="s">
        <v>40</v>
      </c>
      <c r="F110" s="73" t="s">
        <v>23</v>
      </c>
      <c r="G110" s="74">
        <v>323270.55</v>
      </c>
      <c r="H110" s="75">
        <v>-105804.5</v>
      </c>
      <c r="I110" s="75">
        <v>217466.05</v>
      </c>
      <c r="J110" s="76"/>
      <c r="K110" s="76"/>
      <c r="L110" s="76"/>
      <c r="M110" s="77"/>
      <c r="N110" s="77"/>
      <c r="O110" s="77"/>
      <c r="P110" s="77"/>
      <c r="Q110" s="77"/>
      <c r="R110" s="77"/>
      <c r="S110" s="78"/>
      <c r="T110" s="78"/>
      <c r="U110" s="78"/>
      <c r="V110" s="78"/>
      <c r="W110" s="25">
        <v>22</v>
      </c>
      <c r="X110" s="25">
        <v>28</v>
      </c>
      <c r="Y110" s="32">
        <v>28</v>
      </c>
      <c r="Z110" s="32">
        <v>31</v>
      </c>
      <c r="AA110" s="32">
        <v>25</v>
      </c>
      <c r="AB110" s="21">
        <f t="shared" si="41"/>
        <v>0.13636363636363635</v>
      </c>
      <c r="AC110" s="33">
        <f t="shared" si="42"/>
        <v>9.8814229249011856E-2</v>
      </c>
      <c r="AD110" s="109"/>
      <c r="AE110" s="109"/>
      <c r="AF110" s="110">
        <f t="shared" si="43"/>
        <v>-2.9817802225632362E-7</v>
      </c>
      <c r="AG110" s="109"/>
      <c r="AH110" s="82">
        <v>1</v>
      </c>
    </row>
    <row r="111" spans="1:34" x14ac:dyDescent="0.15">
      <c r="A111" s="73" t="s">
        <v>321</v>
      </c>
      <c r="B111" s="73" t="s">
        <v>322</v>
      </c>
      <c r="C111" s="73" t="s">
        <v>410</v>
      </c>
      <c r="D111" s="73" t="s">
        <v>411</v>
      </c>
      <c r="E111" s="73" t="s">
        <v>40</v>
      </c>
      <c r="F111" s="73" t="s">
        <v>23</v>
      </c>
      <c r="G111" s="74">
        <v>727473.27</v>
      </c>
      <c r="H111" s="75">
        <v>-235326.09</v>
      </c>
      <c r="I111" s="75">
        <v>492147.18</v>
      </c>
      <c r="J111" s="76"/>
      <c r="K111" s="76"/>
      <c r="L111" s="76"/>
      <c r="M111" s="77"/>
      <c r="N111" s="77"/>
      <c r="O111" s="77"/>
      <c r="P111" s="77"/>
      <c r="Q111" s="77"/>
      <c r="R111" s="77"/>
      <c r="S111" s="78"/>
      <c r="T111" s="78"/>
      <c r="U111" s="78"/>
      <c r="V111" s="78"/>
      <c r="W111" s="25">
        <v>60</v>
      </c>
      <c r="X111" s="25">
        <v>54</v>
      </c>
      <c r="Y111" s="32">
        <v>59</v>
      </c>
      <c r="Z111" s="32">
        <v>62</v>
      </c>
      <c r="AA111" s="32">
        <v>71</v>
      </c>
      <c r="AB111" s="21">
        <f t="shared" si="41"/>
        <v>0.18333333333333332</v>
      </c>
      <c r="AC111" s="33">
        <f t="shared" si="42"/>
        <v>0.28063241106719367</v>
      </c>
      <c r="AD111" s="109"/>
      <c r="AE111" s="109"/>
      <c r="AF111" s="110">
        <f t="shared" si="43"/>
        <v>-4.0088378547794622E-7</v>
      </c>
      <c r="AG111" s="109"/>
      <c r="AH111" s="82">
        <v>1</v>
      </c>
    </row>
    <row r="112" spans="1:34" x14ac:dyDescent="0.15">
      <c r="A112" s="73" t="s">
        <v>321</v>
      </c>
      <c r="B112" s="73" t="s">
        <v>322</v>
      </c>
      <c r="C112" s="73" t="s">
        <v>403</v>
      </c>
      <c r="D112" s="73" t="s">
        <v>404</v>
      </c>
      <c r="E112" s="73" t="s">
        <v>40</v>
      </c>
      <c r="F112" s="73" t="s">
        <v>23</v>
      </c>
      <c r="G112" s="74">
        <v>249009.9</v>
      </c>
      <c r="H112" s="75">
        <v>-57678.105000000003</v>
      </c>
      <c r="I112" s="75">
        <v>191331.79500000001</v>
      </c>
      <c r="J112" s="76"/>
      <c r="K112" s="76"/>
      <c r="L112" s="76"/>
      <c r="M112" s="77"/>
      <c r="N112" s="77"/>
      <c r="O112" s="77"/>
      <c r="P112" s="77"/>
      <c r="Q112" s="77"/>
      <c r="R112" s="77"/>
      <c r="S112" s="78"/>
      <c r="T112" s="78"/>
      <c r="U112" s="78"/>
      <c r="V112" s="78"/>
      <c r="W112" s="25">
        <v>34</v>
      </c>
      <c r="X112" s="25">
        <v>37</v>
      </c>
      <c r="Y112" s="32">
        <v>41</v>
      </c>
      <c r="Z112" s="32">
        <v>40</v>
      </c>
      <c r="AA112" s="32">
        <v>33</v>
      </c>
      <c r="AB112" s="21">
        <f t="shared" si="41"/>
        <v>-2.9411764705882353E-2</v>
      </c>
      <c r="AC112" s="33">
        <f t="shared" si="42"/>
        <v>0.13043478260869565</v>
      </c>
      <c r="AD112" s="109"/>
      <c r="AE112" s="109"/>
      <c r="AF112" s="110">
        <f t="shared" si="43"/>
        <v>6.4312906761167846E-8</v>
      </c>
      <c r="AG112" s="109"/>
      <c r="AH112" s="82">
        <v>1</v>
      </c>
    </row>
    <row r="113" spans="1:34" x14ac:dyDescent="0.15">
      <c r="A113" s="93" t="s">
        <v>321</v>
      </c>
      <c r="B113" s="93" t="s">
        <v>322</v>
      </c>
      <c r="C113" s="93" t="s">
        <v>477</v>
      </c>
      <c r="D113" s="93" t="s">
        <v>478</v>
      </c>
      <c r="E113" s="93" t="s">
        <v>40</v>
      </c>
      <c r="F113" s="93" t="s">
        <v>23</v>
      </c>
      <c r="G113" s="94">
        <v>4088.4</v>
      </c>
      <c r="H113" s="95"/>
      <c r="I113" s="95">
        <v>4088.4</v>
      </c>
      <c r="J113" s="76"/>
      <c r="K113" s="76"/>
      <c r="L113" s="76"/>
      <c r="M113" s="77"/>
      <c r="N113" s="77"/>
      <c r="O113" s="77"/>
      <c r="P113" s="77"/>
      <c r="Q113" s="77"/>
      <c r="R113" s="77"/>
      <c r="S113" s="78"/>
      <c r="T113" s="78"/>
      <c r="U113" s="78"/>
      <c r="V113" s="78"/>
      <c r="W113" s="96">
        <v>5</v>
      </c>
      <c r="X113" s="96">
        <v>5</v>
      </c>
      <c r="Y113" s="96">
        <v>7</v>
      </c>
      <c r="Z113" s="96">
        <v>5</v>
      </c>
      <c r="AA113" s="96">
        <v>4</v>
      </c>
      <c r="AB113" s="21">
        <f t="shared" si="41"/>
        <v>-0.2</v>
      </c>
      <c r="AC113" s="33">
        <f t="shared" si="42"/>
        <v>1.5810276679841896E-2</v>
      </c>
      <c r="AD113" s="109"/>
      <c r="AE113" s="109"/>
      <c r="AF113" s="110">
        <f t="shared" si="43"/>
        <v>4.3732776597594136E-7</v>
      </c>
      <c r="AG113" s="109"/>
      <c r="AH113" s="82">
        <v>1</v>
      </c>
    </row>
    <row r="114" spans="1:34" s="11" customFormat="1" x14ac:dyDescent="0.15">
      <c r="A114" s="67"/>
      <c r="B114" s="67" t="s">
        <v>0</v>
      </c>
      <c r="C114" s="67" t="s">
        <v>0</v>
      </c>
      <c r="D114" s="67" t="s">
        <v>0</v>
      </c>
      <c r="E114" s="67" t="s">
        <v>44</v>
      </c>
      <c r="F114" s="67" t="s">
        <v>23</v>
      </c>
      <c r="G114" s="68">
        <v>3624614.87</v>
      </c>
      <c r="H114" s="69">
        <v>-1852624.41</v>
      </c>
      <c r="I114" s="69">
        <v>1771990.46</v>
      </c>
      <c r="J114" s="69">
        <f>1659491.65+30109</f>
        <v>1689600.65</v>
      </c>
      <c r="K114" s="69">
        <f>-723436.910401548-211</f>
        <v>-723647.91040154803</v>
      </c>
      <c r="L114" s="69">
        <f>+J114+K114</f>
        <v>965952.73959845188</v>
      </c>
      <c r="M114" s="70">
        <f>-2558562.14</f>
        <v>-2558562.14</v>
      </c>
      <c r="N114" s="70">
        <v>-1105.06</v>
      </c>
      <c r="O114" s="70">
        <f>-1095-197151.89-28256.16</f>
        <v>-226503.05000000002</v>
      </c>
      <c r="P114" s="70"/>
      <c r="Q114" s="70">
        <f>-190201.6-23360.05</f>
        <v>-213561.65</v>
      </c>
      <c r="R114" s="70">
        <f>+Q114+M114</f>
        <v>-2772123.79</v>
      </c>
      <c r="S114" s="104">
        <f>+I114+R114</f>
        <v>-1000133.3300000001</v>
      </c>
      <c r="T114" s="104">
        <f>+L114+R114</f>
        <v>-1806171.0504015482</v>
      </c>
      <c r="U114" s="104">
        <f>+I114+M114</f>
        <v>-786571.68000000017</v>
      </c>
      <c r="V114" s="104">
        <f>+L114+M114</f>
        <v>-1592609.4004015482</v>
      </c>
      <c r="W114" s="71">
        <f>SUM(W116:W146)</f>
        <v>260</v>
      </c>
      <c r="X114" s="71">
        <f t="shared" ref="X114:AA114" si="45">SUM(X116:X146)</f>
        <v>277</v>
      </c>
      <c r="Y114" s="71">
        <f t="shared" si="45"/>
        <v>285</v>
      </c>
      <c r="Z114" s="71">
        <f t="shared" si="45"/>
        <v>292</v>
      </c>
      <c r="AA114" s="71">
        <f t="shared" si="45"/>
        <v>292</v>
      </c>
      <c r="AB114" s="72">
        <f>+(AA114-W114)/W114</f>
        <v>0.12307692307692308</v>
      </c>
      <c r="AD114" s="107"/>
      <c r="AE114" s="107"/>
      <c r="AF114" s="108"/>
      <c r="AG114" s="108"/>
      <c r="AH114" s="81">
        <v>1</v>
      </c>
    </row>
    <row r="115" spans="1:34" x14ac:dyDescent="0.15">
      <c r="A115" s="73" t="s">
        <v>62</v>
      </c>
      <c r="B115" s="73" t="s">
        <v>148</v>
      </c>
      <c r="C115" s="73" t="s">
        <v>174</v>
      </c>
      <c r="D115" s="73" t="s">
        <v>476</v>
      </c>
      <c r="E115" s="73" t="s">
        <v>44</v>
      </c>
      <c r="F115" s="73" t="s">
        <v>23</v>
      </c>
      <c r="G115" s="74">
        <f>SUM(G116:G118)</f>
        <v>132007.6</v>
      </c>
      <c r="H115" s="75">
        <f t="shared" ref="H115:I115" si="46">SUM(H116:H118)</f>
        <v>-121221.1</v>
      </c>
      <c r="I115" s="75">
        <f t="shared" si="46"/>
        <v>10786.5</v>
      </c>
      <c r="J115" s="76"/>
      <c r="K115" s="76"/>
      <c r="L115" s="76"/>
      <c r="M115" s="77"/>
      <c r="N115" s="77"/>
      <c r="O115" s="77"/>
      <c r="P115" s="77"/>
      <c r="Q115" s="77"/>
      <c r="R115" s="77"/>
      <c r="S115" s="78"/>
      <c r="T115" s="78"/>
      <c r="U115" s="78"/>
      <c r="V115" s="78"/>
      <c r="W115" s="32">
        <v>9</v>
      </c>
      <c r="X115" s="32">
        <v>13</v>
      </c>
      <c r="Y115" s="32">
        <v>20</v>
      </c>
      <c r="Z115" s="32">
        <v>15</v>
      </c>
      <c r="AA115" s="32">
        <v>14</v>
      </c>
      <c r="AB115" s="21">
        <f t="shared" ref="AB115" si="47">+(AA115-W115)/W115</f>
        <v>0.55555555555555558</v>
      </c>
      <c r="AC115" s="33">
        <f>+AA115/AA114</f>
        <v>4.7945205479452052E-2</v>
      </c>
      <c r="AD115" s="113"/>
      <c r="AE115" s="113"/>
      <c r="AF115" s="110">
        <f>+AB115/AB114</f>
        <v>4.5138888888888884</v>
      </c>
      <c r="AG115" s="113"/>
      <c r="AH115" s="83">
        <v>1</v>
      </c>
    </row>
    <row r="116" spans="1:34" x14ac:dyDescent="0.15">
      <c r="A116" s="73" t="s">
        <v>62</v>
      </c>
      <c r="B116" s="73" t="s">
        <v>148</v>
      </c>
      <c r="C116" s="73" t="s">
        <v>174</v>
      </c>
      <c r="D116" s="73" t="s">
        <v>175</v>
      </c>
      <c r="E116" s="73" t="s">
        <v>44</v>
      </c>
      <c r="F116" s="73" t="s">
        <v>23</v>
      </c>
      <c r="G116" s="74">
        <v>86861.8</v>
      </c>
      <c r="H116" s="75">
        <v>-81382.600000000006</v>
      </c>
      <c r="I116" s="75">
        <v>5479.2</v>
      </c>
      <c r="J116" s="76"/>
      <c r="K116" s="76"/>
      <c r="L116" s="76"/>
      <c r="M116" s="77"/>
      <c r="N116" s="77"/>
      <c r="O116" s="77"/>
      <c r="P116" s="77"/>
      <c r="Q116" s="77"/>
      <c r="R116" s="77"/>
      <c r="S116" s="78"/>
      <c r="T116" s="78"/>
      <c r="U116" s="78"/>
      <c r="V116" s="78"/>
      <c r="W116" s="32"/>
      <c r="X116" s="32"/>
      <c r="Y116" s="32"/>
      <c r="Z116" s="32"/>
      <c r="AA116" s="32"/>
      <c r="AB116" s="21"/>
      <c r="AC116" s="33">
        <f>+AA116/AA114</f>
        <v>0</v>
      </c>
      <c r="AD116" s="109"/>
      <c r="AE116" s="109"/>
      <c r="AF116" s="110">
        <f>+AB116/AB114</f>
        <v>0</v>
      </c>
      <c r="AG116" s="109"/>
      <c r="AH116" s="82">
        <v>1</v>
      </c>
    </row>
    <row r="117" spans="1:34" x14ac:dyDescent="0.15">
      <c r="A117" s="73" t="s">
        <v>62</v>
      </c>
      <c r="B117" s="73" t="s">
        <v>148</v>
      </c>
      <c r="C117" s="73" t="s">
        <v>174</v>
      </c>
      <c r="D117" s="73" t="s">
        <v>176</v>
      </c>
      <c r="E117" s="73" t="s">
        <v>44</v>
      </c>
      <c r="F117" s="73" t="s">
        <v>23</v>
      </c>
      <c r="G117" s="74">
        <v>19576.8</v>
      </c>
      <c r="H117" s="75">
        <v>-16091.4</v>
      </c>
      <c r="I117" s="75">
        <v>3485.4</v>
      </c>
      <c r="J117" s="76"/>
      <c r="K117" s="76"/>
      <c r="L117" s="76"/>
      <c r="M117" s="77"/>
      <c r="N117" s="77"/>
      <c r="O117" s="77"/>
      <c r="P117" s="77"/>
      <c r="Q117" s="77"/>
      <c r="R117" s="77"/>
      <c r="S117" s="78"/>
      <c r="T117" s="78"/>
      <c r="U117" s="78"/>
      <c r="V117" s="78"/>
      <c r="W117" s="32"/>
      <c r="X117" s="32"/>
      <c r="Y117" s="32"/>
      <c r="Z117" s="32"/>
      <c r="AA117" s="32"/>
      <c r="AB117" s="21"/>
      <c r="AC117" s="33" t="s">
        <v>467</v>
      </c>
      <c r="AD117" s="109"/>
      <c r="AE117" s="109"/>
      <c r="AF117" s="110" t="s">
        <v>467</v>
      </c>
      <c r="AG117" s="109"/>
      <c r="AH117" s="82">
        <v>1</v>
      </c>
    </row>
    <row r="118" spans="1:34" x14ac:dyDescent="0.15">
      <c r="A118" s="73" t="s">
        <v>62</v>
      </c>
      <c r="B118" s="73" t="s">
        <v>148</v>
      </c>
      <c r="C118" s="73" t="s">
        <v>174</v>
      </c>
      <c r="D118" s="73" t="s">
        <v>177</v>
      </c>
      <c r="E118" s="73" t="s">
        <v>44</v>
      </c>
      <c r="F118" s="73" t="s">
        <v>23</v>
      </c>
      <c r="G118" s="74">
        <v>25569</v>
      </c>
      <c r="H118" s="75">
        <v>-23747.1</v>
      </c>
      <c r="I118" s="75">
        <v>1821.9</v>
      </c>
      <c r="J118" s="76"/>
      <c r="K118" s="76"/>
      <c r="L118" s="76"/>
      <c r="M118" s="77"/>
      <c r="N118" s="77"/>
      <c r="O118" s="77"/>
      <c r="P118" s="77"/>
      <c r="Q118" s="77"/>
      <c r="R118" s="77"/>
      <c r="S118" s="78"/>
      <c r="T118" s="78"/>
      <c r="U118" s="78"/>
      <c r="V118" s="78"/>
      <c r="W118" s="32"/>
      <c r="X118" s="32"/>
      <c r="Y118" s="32"/>
      <c r="Z118" s="32"/>
      <c r="AA118" s="32"/>
      <c r="AB118" s="21"/>
      <c r="AD118" s="109"/>
      <c r="AE118" s="109"/>
      <c r="AG118" s="109"/>
      <c r="AH118" s="82">
        <v>1</v>
      </c>
    </row>
    <row r="119" spans="1:34" ht="15.75" customHeight="1" x14ac:dyDescent="0.15">
      <c r="A119" s="73" t="s">
        <v>62</v>
      </c>
      <c r="B119" s="73" t="s">
        <v>117</v>
      </c>
      <c r="C119" s="73" t="s">
        <v>118</v>
      </c>
      <c r="D119" s="73" t="s">
        <v>475</v>
      </c>
      <c r="E119" s="73" t="s">
        <v>44</v>
      </c>
      <c r="F119" s="73" t="s">
        <v>23</v>
      </c>
      <c r="G119" s="74">
        <f>SUM(G120:G121)</f>
        <v>45679.199999999997</v>
      </c>
      <c r="H119" s="75">
        <f t="shared" ref="H119:I119" si="48">SUM(H120:H121)</f>
        <v>-43113</v>
      </c>
      <c r="I119" s="75">
        <f t="shared" si="48"/>
        <v>2566.1999999999998</v>
      </c>
      <c r="J119" s="76"/>
      <c r="K119" s="76"/>
      <c r="L119" s="76"/>
      <c r="M119" s="77"/>
      <c r="N119" s="77"/>
      <c r="O119" s="77"/>
      <c r="P119" s="77"/>
      <c r="Q119" s="77"/>
      <c r="R119" s="77"/>
      <c r="S119" s="78"/>
      <c r="T119" s="78"/>
      <c r="U119" s="78"/>
      <c r="V119" s="78"/>
      <c r="W119" s="25">
        <v>8</v>
      </c>
      <c r="X119" s="25">
        <v>10</v>
      </c>
      <c r="Y119" s="25">
        <v>10</v>
      </c>
      <c r="Z119" s="32">
        <v>8</v>
      </c>
      <c r="AA119" s="32">
        <v>3</v>
      </c>
      <c r="AB119" s="21">
        <f>+(AA119-W119)/W119</f>
        <v>-0.625</v>
      </c>
      <c r="AC119" s="33">
        <f>+AA119/$AA$114</f>
        <v>1.0273972602739725E-2</v>
      </c>
      <c r="AD119" s="109"/>
      <c r="AE119" s="109"/>
      <c r="AF119" s="110">
        <f>+AB119/$U$114</f>
        <v>7.9458746849365318E-7</v>
      </c>
      <c r="AH119" s="82">
        <v>1</v>
      </c>
    </row>
    <row r="120" spans="1:34" x14ac:dyDescent="0.15">
      <c r="A120" s="73" t="s">
        <v>62</v>
      </c>
      <c r="B120" s="73" t="s">
        <v>117</v>
      </c>
      <c r="C120" s="73" t="s">
        <v>118</v>
      </c>
      <c r="D120" s="73" t="s">
        <v>119</v>
      </c>
      <c r="E120" s="73" t="s">
        <v>44</v>
      </c>
      <c r="F120" s="73" t="s">
        <v>23</v>
      </c>
      <c r="G120" s="74">
        <v>17401.599999999999</v>
      </c>
      <c r="H120" s="75">
        <v>-16424</v>
      </c>
      <c r="I120" s="75">
        <v>977.6</v>
      </c>
      <c r="J120" s="76"/>
      <c r="K120" s="76"/>
      <c r="L120" s="76"/>
      <c r="M120" s="77"/>
      <c r="N120" s="77"/>
      <c r="O120" s="77"/>
      <c r="P120" s="77"/>
      <c r="Q120" s="77"/>
      <c r="R120" s="77"/>
      <c r="S120" s="78"/>
      <c r="T120" s="78"/>
      <c r="U120" s="78"/>
      <c r="V120" s="78"/>
      <c r="W120" s="25"/>
      <c r="X120" s="25"/>
      <c r="Y120" s="25"/>
      <c r="Z120" s="32"/>
      <c r="AA120" s="32"/>
      <c r="AB120" s="21"/>
      <c r="AD120" s="109"/>
      <c r="AE120" s="109"/>
      <c r="AG120" s="109"/>
      <c r="AH120" s="82">
        <v>1</v>
      </c>
    </row>
    <row r="121" spans="1:34" x14ac:dyDescent="0.15">
      <c r="A121" s="73" t="s">
        <v>62</v>
      </c>
      <c r="B121" s="73" t="s">
        <v>117</v>
      </c>
      <c r="C121" s="73" t="s">
        <v>118</v>
      </c>
      <c r="D121" s="73" t="s">
        <v>120</v>
      </c>
      <c r="E121" s="73" t="s">
        <v>44</v>
      </c>
      <c r="F121" s="73" t="s">
        <v>23</v>
      </c>
      <c r="G121" s="74">
        <v>28277.599999999999</v>
      </c>
      <c r="H121" s="75">
        <v>-26689</v>
      </c>
      <c r="I121" s="75">
        <v>1588.6</v>
      </c>
      <c r="J121" s="76"/>
      <c r="K121" s="76"/>
      <c r="L121" s="76"/>
      <c r="M121" s="77"/>
      <c r="N121" s="77"/>
      <c r="O121" s="77"/>
      <c r="P121" s="77"/>
      <c r="Q121" s="77"/>
      <c r="R121" s="77"/>
      <c r="S121" s="78"/>
      <c r="T121" s="78"/>
      <c r="U121" s="78"/>
      <c r="V121" s="78"/>
      <c r="W121" s="32"/>
      <c r="X121" s="32"/>
      <c r="Y121" s="32"/>
      <c r="Z121" s="32"/>
      <c r="AA121" s="32"/>
      <c r="AB121" s="21"/>
      <c r="AD121" s="109"/>
      <c r="AE121" s="109"/>
      <c r="AG121" s="109"/>
      <c r="AH121" s="82">
        <v>1</v>
      </c>
    </row>
    <row r="122" spans="1:34" x14ac:dyDescent="0.15">
      <c r="A122" s="73" t="s">
        <v>62</v>
      </c>
      <c r="B122" s="73" t="s">
        <v>195</v>
      </c>
      <c r="C122" s="73" t="s">
        <v>216</v>
      </c>
      <c r="D122" s="73" t="s">
        <v>474</v>
      </c>
      <c r="E122" s="73" t="s">
        <v>44</v>
      </c>
      <c r="F122" s="73" t="s">
        <v>23</v>
      </c>
      <c r="G122" s="74">
        <f>SUM(G123:G124)</f>
        <v>81554.8</v>
      </c>
      <c r="H122" s="75">
        <f t="shared" ref="H122:I122" si="49">SUM(H123:H124)</f>
        <v>-60636.1</v>
      </c>
      <c r="I122" s="75">
        <f t="shared" si="49"/>
        <v>20918.7</v>
      </c>
      <c r="J122" s="76"/>
      <c r="K122" s="76"/>
      <c r="L122" s="76"/>
      <c r="M122" s="77"/>
      <c r="N122" s="77"/>
      <c r="O122" s="77"/>
      <c r="P122" s="77"/>
      <c r="Q122" s="77"/>
      <c r="R122" s="77"/>
      <c r="S122" s="78"/>
      <c r="T122" s="78"/>
      <c r="U122" s="78"/>
      <c r="V122" s="78"/>
      <c r="W122" s="25">
        <v>2</v>
      </c>
      <c r="X122" s="25">
        <v>3</v>
      </c>
      <c r="Y122" s="25">
        <v>4</v>
      </c>
      <c r="Z122" s="32">
        <v>3</v>
      </c>
      <c r="AA122" s="32">
        <v>5</v>
      </c>
      <c r="AB122" s="21">
        <f t="shared" ref="AB122" si="50">+(AA122-W122)/W122</f>
        <v>1.5</v>
      </c>
      <c r="AC122" s="33">
        <f t="shared" ref="AC122:AC143" si="51">+AA122/$AA$114</f>
        <v>1.7123287671232876E-2</v>
      </c>
      <c r="AD122" s="109"/>
      <c r="AE122" s="109"/>
      <c r="AF122" s="110">
        <f t="shared" ref="AF122:AF143" si="52">+AB122/$U$114</f>
        <v>-1.9070099243847676E-6</v>
      </c>
      <c r="AG122" s="109"/>
      <c r="AH122" s="82">
        <v>1</v>
      </c>
    </row>
    <row r="123" spans="1:34" x14ac:dyDescent="0.15">
      <c r="A123" s="73" t="s">
        <v>62</v>
      </c>
      <c r="B123" s="73" t="s">
        <v>195</v>
      </c>
      <c r="C123" s="73" t="s">
        <v>216</v>
      </c>
      <c r="D123" s="73" t="s">
        <v>217</v>
      </c>
      <c r="E123" s="73" t="s">
        <v>44</v>
      </c>
      <c r="F123" s="73" t="s">
        <v>23</v>
      </c>
      <c r="G123" s="74">
        <v>60890.400000000001</v>
      </c>
      <c r="H123" s="75">
        <v>-41132.6</v>
      </c>
      <c r="I123" s="75">
        <v>19757.8</v>
      </c>
      <c r="J123" s="76"/>
      <c r="K123" s="76"/>
      <c r="L123" s="76"/>
      <c r="M123" s="77"/>
      <c r="N123" s="77"/>
      <c r="O123" s="77"/>
      <c r="P123" s="77"/>
      <c r="Q123" s="77"/>
      <c r="R123" s="77"/>
      <c r="S123" s="78"/>
      <c r="T123" s="78"/>
      <c r="U123" s="78"/>
      <c r="V123" s="78"/>
      <c r="W123" s="25"/>
      <c r="X123" s="25"/>
      <c r="Y123" s="25"/>
      <c r="Z123" s="32"/>
      <c r="AA123" s="32"/>
      <c r="AB123" s="21"/>
      <c r="AC123" s="33">
        <f t="shared" si="51"/>
        <v>0</v>
      </c>
      <c r="AD123" s="109"/>
      <c r="AE123" s="109"/>
      <c r="AF123" s="110">
        <f t="shared" si="52"/>
        <v>0</v>
      </c>
      <c r="AG123" s="109"/>
      <c r="AH123" s="82">
        <v>1</v>
      </c>
    </row>
    <row r="124" spans="1:34" x14ac:dyDescent="0.15">
      <c r="A124" s="73" t="s">
        <v>62</v>
      </c>
      <c r="B124" s="73" t="s">
        <v>195</v>
      </c>
      <c r="C124" s="73" t="s">
        <v>216</v>
      </c>
      <c r="D124" s="73" t="s">
        <v>218</v>
      </c>
      <c r="E124" s="73" t="s">
        <v>44</v>
      </c>
      <c r="F124" s="73" t="s">
        <v>23</v>
      </c>
      <c r="G124" s="74">
        <v>20664.400000000001</v>
      </c>
      <c r="H124" s="75">
        <v>-19503.5</v>
      </c>
      <c r="I124" s="75">
        <v>1160.9000000000001</v>
      </c>
      <c r="J124" s="76"/>
      <c r="K124" s="76"/>
      <c r="L124" s="76"/>
      <c r="M124" s="77"/>
      <c r="N124" s="77"/>
      <c r="O124" s="77"/>
      <c r="P124" s="77"/>
      <c r="Q124" s="77"/>
      <c r="R124" s="77"/>
      <c r="S124" s="78"/>
      <c r="T124" s="78"/>
      <c r="U124" s="78"/>
      <c r="V124" s="78"/>
      <c r="W124" s="32"/>
      <c r="X124" s="32"/>
      <c r="Y124" s="32"/>
      <c r="Z124" s="32"/>
      <c r="AA124" s="32"/>
      <c r="AB124" s="21"/>
      <c r="AC124" s="33">
        <f t="shared" si="51"/>
        <v>0</v>
      </c>
      <c r="AD124" s="109"/>
      <c r="AE124" s="109"/>
      <c r="AF124" s="110">
        <f t="shared" si="52"/>
        <v>0</v>
      </c>
      <c r="AG124" s="109"/>
      <c r="AH124" s="82">
        <v>1</v>
      </c>
    </row>
    <row r="125" spans="1:34" x14ac:dyDescent="0.15">
      <c r="A125" s="73" t="s">
        <v>62</v>
      </c>
      <c r="B125" s="73" t="s">
        <v>195</v>
      </c>
      <c r="C125" s="73" t="s">
        <v>266</v>
      </c>
      <c r="D125" s="73" t="s">
        <v>473</v>
      </c>
      <c r="E125" s="73" t="s">
        <v>44</v>
      </c>
      <c r="F125" s="73" t="s">
        <v>23</v>
      </c>
      <c r="G125" s="74">
        <f>SUM(G126:G127)</f>
        <v>54696.1</v>
      </c>
      <c r="H125" s="75">
        <f t="shared" ref="H125:I125" si="53">SUM(H126:H127)</f>
        <v>-5373.4</v>
      </c>
      <c r="I125" s="75">
        <f t="shared" si="53"/>
        <v>49322.7</v>
      </c>
      <c r="J125" s="76"/>
      <c r="K125" s="76"/>
      <c r="L125" s="76"/>
      <c r="M125" s="77"/>
      <c r="N125" s="77"/>
      <c r="O125" s="77"/>
      <c r="P125" s="77"/>
      <c r="Q125" s="77"/>
      <c r="R125" s="77"/>
      <c r="S125" s="78"/>
      <c r="T125" s="78"/>
      <c r="U125" s="78"/>
      <c r="V125" s="78"/>
      <c r="W125" s="32">
        <v>13</v>
      </c>
      <c r="X125" s="32">
        <v>16</v>
      </c>
      <c r="Y125" s="32">
        <v>19</v>
      </c>
      <c r="Z125" s="32">
        <v>13</v>
      </c>
      <c r="AA125" s="32">
        <v>18</v>
      </c>
      <c r="AB125" s="21">
        <f t="shared" ref="AB125" si="54">+(AA125-W125)/W125</f>
        <v>0.38461538461538464</v>
      </c>
      <c r="AC125" s="33">
        <f t="shared" si="51"/>
        <v>6.1643835616438353E-2</v>
      </c>
      <c r="AD125" s="109"/>
      <c r="AE125" s="109"/>
      <c r="AF125" s="110">
        <f t="shared" si="52"/>
        <v>-4.8897690368840196E-7</v>
      </c>
      <c r="AG125" s="109"/>
      <c r="AH125" s="82">
        <v>1</v>
      </c>
    </row>
    <row r="126" spans="1:34" x14ac:dyDescent="0.15">
      <c r="A126" s="73" t="s">
        <v>62</v>
      </c>
      <c r="B126" s="73" t="s">
        <v>195</v>
      </c>
      <c r="C126" s="73" t="s">
        <v>266</v>
      </c>
      <c r="D126" s="73" t="s">
        <v>268</v>
      </c>
      <c r="E126" s="73" t="s">
        <v>44</v>
      </c>
      <c r="F126" s="73" t="s">
        <v>23</v>
      </c>
      <c r="G126" s="74">
        <v>28754.5</v>
      </c>
      <c r="H126" s="75">
        <v>-5373.4</v>
      </c>
      <c r="I126" s="75">
        <v>23381.1</v>
      </c>
      <c r="J126" s="76"/>
      <c r="K126" s="76"/>
      <c r="L126" s="76"/>
      <c r="M126" s="77"/>
      <c r="N126" s="77"/>
      <c r="O126" s="77"/>
      <c r="P126" s="77"/>
      <c r="Q126" s="77"/>
      <c r="R126" s="77"/>
      <c r="S126" s="78"/>
      <c r="T126" s="78"/>
      <c r="U126" s="78"/>
      <c r="V126" s="78"/>
      <c r="W126" s="32"/>
      <c r="X126" s="32"/>
      <c r="Y126" s="32"/>
      <c r="Z126" s="32"/>
      <c r="AA126" s="32"/>
      <c r="AB126" s="21"/>
      <c r="AC126" s="33">
        <f t="shared" si="51"/>
        <v>0</v>
      </c>
      <c r="AD126" s="109"/>
      <c r="AE126" s="109"/>
      <c r="AF126" s="110">
        <f t="shared" si="52"/>
        <v>0</v>
      </c>
      <c r="AG126" s="109"/>
      <c r="AH126" s="82">
        <v>1</v>
      </c>
    </row>
    <row r="127" spans="1:34" x14ac:dyDescent="0.15">
      <c r="A127" s="73" t="s">
        <v>62</v>
      </c>
      <c r="B127" s="73" t="s">
        <v>195</v>
      </c>
      <c r="C127" s="73" t="s">
        <v>266</v>
      </c>
      <c r="D127" s="73" t="s">
        <v>270</v>
      </c>
      <c r="E127" s="73" t="s">
        <v>44</v>
      </c>
      <c r="F127" s="73" t="s">
        <v>23</v>
      </c>
      <c r="G127" s="74">
        <v>25941.599999999999</v>
      </c>
      <c r="H127" s="75"/>
      <c r="I127" s="75">
        <v>25941.599999999999</v>
      </c>
      <c r="J127" s="76"/>
      <c r="K127" s="76"/>
      <c r="L127" s="76"/>
      <c r="M127" s="77"/>
      <c r="N127" s="77"/>
      <c r="O127" s="77"/>
      <c r="P127" s="77"/>
      <c r="Q127" s="77"/>
      <c r="R127" s="77"/>
      <c r="S127" s="78"/>
      <c r="T127" s="78"/>
      <c r="U127" s="78"/>
      <c r="V127" s="78"/>
      <c r="W127" s="32"/>
      <c r="X127" s="32"/>
      <c r="Y127" s="32"/>
      <c r="Z127" s="32"/>
      <c r="AA127" s="32"/>
      <c r="AB127" s="21"/>
      <c r="AC127" s="33">
        <f t="shared" si="51"/>
        <v>0</v>
      </c>
      <c r="AD127" s="109"/>
      <c r="AE127" s="109"/>
      <c r="AF127" s="110">
        <f t="shared" si="52"/>
        <v>0</v>
      </c>
      <c r="AG127" s="109"/>
      <c r="AH127" s="82">
        <v>1</v>
      </c>
    </row>
    <row r="128" spans="1:34" x14ac:dyDescent="0.15">
      <c r="A128" s="73" t="s">
        <v>62</v>
      </c>
      <c r="B128" s="73" t="s">
        <v>148</v>
      </c>
      <c r="C128" s="73" t="s">
        <v>186</v>
      </c>
      <c r="D128" s="73" t="s">
        <v>472</v>
      </c>
      <c r="E128" s="73" t="s">
        <v>44</v>
      </c>
      <c r="F128" s="73" t="s">
        <v>23</v>
      </c>
      <c r="G128" s="74">
        <f>SUM(G129:G130)</f>
        <v>38576.1</v>
      </c>
      <c r="H128" s="75">
        <f t="shared" ref="H128:I128" si="55">SUM(H129:H130)</f>
        <v>-18848.599999999999</v>
      </c>
      <c r="I128" s="75">
        <f t="shared" si="55"/>
        <v>19727.5</v>
      </c>
      <c r="J128" s="76"/>
      <c r="K128" s="76"/>
      <c r="L128" s="76"/>
      <c r="M128" s="77"/>
      <c r="N128" s="77"/>
      <c r="O128" s="77"/>
      <c r="P128" s="77"/>
      <c r="Q128" s="77"/>
      <c r="R128" s="77"/>
      <c r="S128" s="78"/>
      <c r="T128" s="78"/>
      <c r="U128" s="78"/>
      <c r="V128" s="78"/>
      <c r="W128" s="25">
        <v>6</v>
      </c>
      <c r="X128" s="25">
        <v>5</v>
      </c>
      <c r="Y128" s="25">
        <v>6</v>
      </c>
      <c r="Z128" s="32">
        <v>3</v>
      </c>
      <c r="AA128" s="32">
        <v>4</v>
      </c>
      <c r="AB128" s="21">
        <f t="shared" ref="AB128" si="56">+(AA128-W128)/W128</f>
        <v>-0.33333333333333331</v>
      </c>
      <c r="AC128" s="33">
        <f t="shared" si="51"/>
        <v>1.3698630136986301E-2</v>
      </c>
      <c r="AD128" s="109"/>
      <c r="AE128" s="109"/>
      <c r="AF128" s="110">
        <f t="shared" si="52"/>
        <v>4.2377998319661503E-7</v>
      </c>
      <c r="AG128" s="109"/>
      <c r="AH128" s="82">
        <v>1</v>
      </c>
    </row>
    <row r="129" spans="1:34" x14ac:dyDescent="0.15">
      <c r="A129" s="73" t="s">
        <v>62</v>
      </c>
      <c r="B129" s="73" t="s">
        <v>148</v>
      </c>
      <c r="C129" s="73" t="s">
        <v>186</v>
      </c>
      <c r="D129" s="73" t="s">
        <v>187</v>
      </c>
      <c r="E129" s="73" t="s">
        <v>44</v>
      </c>
      <c r="F129" s="73" t="s">
        <v>23</v>
      </c>
      <c r="G129" s="74">
        <v>9838.4</v>
      </c>
      <c r="H129" s="75">
        <v>-4802.5</v>
      </c>
      <c r="I129" s="75">
        <v>5035.8999999999996</v>
      </c>
      <c r="J129" s="76"/>
      <c r="K129" s="76"/>
      <c r="L129" s="76"/>
      <c r="M129" s="77"/>
      <c r="N129" s="77"/>
      <c r="O129" s="77"/>
      <c r="P129" s="77"/>
      <c r="Q129" s="77"/>
      <c r="R129" s="77"/>
      <c r="S129" s="78"/>
      <c r="T129" s="78"/>
      <c r="U129" s="78"/>
      <c r="V129" s="78"/>
      <c r="W129" s="25"/>
      <c r="X129" s="25"/>
      <c r="Y129" s="25"/>
      <c r="Z129" s="32"/>
      <c r="AA129" s="32"/>
      <c r="AB129" s="21"/>
      <c r="AC129" s="33">
        <f t="shared" si="51"/>
        <v>0</v>
      </c>
      <c r="AD129" s="109"/>
      <c r="AE129" s="109"/>
      <c r="AF129" s="110">
        <f t="shared" si="52"/>
        <v>0</v>
      </c>
      <c r="AG129" s="109"/>
      <c r="AH129" s="82">
        <v>1</v>
      </c>
    </row>
    <row r="130" spans="1:34" x14ac:dyDescent="0.15">
      <c r="A130" s="73" t="s">
        <v>62</v>
      </c>
      <c r="B130" s="73" t="s">
        <v>148</v>
      </c>
      <c r="C130" s="73" t="s">
        <v>186</v>
      </c>
      <c r="D130" s="73" t="s">
        <v>188</v>
      </c>
      <c r="E130" s="73" t="s">
        <v>44</v>
      </c>
      <c r="F130" s="73" t="s">
        <v>23</v>
      </c>
      <c r="G130" s="74">
        <v>28737.7</v>
      </c>
      <c r="H130" s="75">
        <v>-14046.1</v>
      </c>
      <c r="I130" s="75">
        <v>14691.6</v>
      </c>
      <c r="J130" s="76"/>
      <c r="K130" s="76"/>
      <c r="L130" s="76"/>
      <c r="M130" s="77"/>
      <c r="N130" s="77"/>
      <c r="O130" s="77"/>
      <c r="P130" s="77"/>
      <c r="Q130" s="77"/>
      <c r="R130" s="77"/>
      <c r="S130" s="78"/>
      <c r="T130" s="78"/>
      <c r="U130" s="78"/>
      <c r="V130" s="78"/>
      <c r="W130" s="32"/>
      <c r="X130" s="32"/>
      <c r="Y130" s="32"/>
      <c r="Z130" s="32"/>
      <c r="AA130" s="32"/>
      <c r="AB130" s="21"/>
      <c r="AC130" s="33">
        <f t="shared" si="51"/>
        <v>0</v>
      </c>
      <c r="AD130" s="109"/>
      <c r="AE130" s="109"/>
      <c r="AF130" s="110">
        <f t="shared" si="52"/>
        <v>0</v>
      </c>
      <c r="AG130" s="109"/>
      <c r="AH130" s="82">
        <v>1</v>
      </c>
    </row>
    <row r="131" spans="1:34" x14ac:dyDescent="0.15">
      <c r="A131" s="73" t="s">
        <v>62</v>
      </c>
      <c r="B131" s="73" t="s">
        <v>117</v>
      </c>
      <c r="C131" s="73" t="s">
        <v>133</v>
      </c>
      <c r="D131" s="73" t="s">
        <v>471</v>
      </c>
      <c r="E131" s="73" t="s">
        <v>44</v>
      </c>
      <c r="F131" s="73" t="s">
        <v>23</v>
      </c>
      <c r="G131" s="74">
        <f>SUM(G132:G134)</f>
        <v>890476.5</v>
      </c>
      <c r="H131" s="75">
        <f t="shared" ref="H131:I131" si="57">SUM(H132:H134)</f>
        <v>-556822.75</v>
      </c>
      <c r="I131" s="75">
        <f t="shared" si="57"/>
        <v>333653.75</v>
      </c>
      <c r="J131" s="76"/>
      <c r="K131" s="76"/>
      <c r="L131" s="76"/>
      <c r="M131" s="77"/>
      <c r="N131" s="77"/>
      <c r="O131" s="77"/>
      <c r="P131" s="77"/>
      <c r="Q131" s="77"/>
      <c r="R131" s="77"/>
      <c r="S131" s="78"/>
      <c r="T131" s="78"/>
      <c r="U131" s="78"/>
      <c r="V131" s="78"/>
      <c r="W131" s="25">
        <v>76</v>
      </c>
      <c r="X131" s="25">
        <v>74</v>
      </c>
      <c r="Y131" s="25">
        <v>70</v>
      </c>
      <c r="Z131" s="32">
        <v>73</v>
      </c>
      <c r="AA131" s="32">
        <v>71</v>
      </c>
      <c r="AB131" s="21">
        <f t="shared" ref="AB131" si="58">+(AA131-W131)/W131</f>
        <v>-6.5789473684210523E-2</v>
      </c>
      <c r="AC131" s="33">
        <f t="shared" si="51"/>
        <v>0.24315068493150685</v>
      </c>
      <c r="AD131" s="109"/>
      <c r="AE131" s="109"/>
      <c r="AF131" s="110">
        <f t="shared" si="52"/>
        <v>8.3640786157226645E-8</v>
      </c>
      <c r="AG131" s="109"/>
      <c r="AH131" s="82">
        <v>1</v>
      </c>
    </row>
    <row r="132" spans="1:34" x14ac:dyDescent="0.15">
      <c r="A132" s="73" t="s">
        <v>62</v>
      </c>
      <c r="B132" s="73" t="s">
        <v>117</v>
      </c>
      <c r="C132" s="73" t="s">
        <v>133</v>
      </c>
      <c r="D132" s="73" t="s">
        <v>134</v>
      </c>
      <c r="E132" s="73" t="s">
        <v>44</v>
      </c>
      <c r="F132" s="73" t="s">
        <v>23</v>
      </c>
      <c r="G132" s="74">
        <v>515985.2</v>
      </c>
      <c r="H132" s="75">
        <v>-339285.35</v>
      </c>
      <c r="I132" s="75">
        <v>176699.85</v>
      </c>
      <c r="J132" s="76"/>
      <c r="K132" s="76"/>
      <c r="L132" s="76"/>
      <c r="M132" s="77"/>
      <c r="N132" s="77"/>
      <c r="O132" s="77"/>
      <c r="P132" s="77"/>
      <c r="Q132" s="77"/>
      <c r="R132" s="77"/>
      <c r="S132" s="78"/>
      <c r="T132" s="78"/>
      <c r="U132" s="78"/>
      <c r="V132" s="78"/>
      <c r="W132" s="25"/>
      <c r="X132" s="25"/>
      <c r="Y132" s="25"/>
      <c r="Z132" s="32"/>
      <c r="AA132" s="32"/>
      <c r="AB132" s="21"/>
      <c r="AC132" s="33">
        <f t="shared" si="51"/>
        <v>0</v>
      </c>
      <c r="AD132" s="109"/>
      <c r="AE132" s="109"/>
      <c r="AF132" s="110">
        <f t="shared" si="52"/>
        <v>0</v>
      </c>
      <c r="AG132" s="109"/>
      <c r="AH132" s="82">
        <v>1</v>
      </c>
    </row>
    <row r="133" spans="1:34" x14ac:dyDescent="0.15">
      <c r="A133" s="73" t="s">
        <v>62</v>
      </c>
      <c r="B133" s="73" t="s">
        <v>117</v>
      </c>
      <c r="C133" s="73" t="s">
        <v>133</v>
      </c>
      <c r="D133" s="73" t="s">
        <v>135</v>
      </c>
      <c r="E133" s="73" t="s">
        <v>44</v>
      </c>
      <c r="F133" s="73" t="s">
        <v>23</v>
      </c>
      <c r="G133" s="74">
        <v>245766.9</v>
      </c>
      <c r="H133" s="75">
        <v>-156417.60000000001</v>
      </c>
      <c r="I133" s="75">
        <v>89349.3</v>
      </c>
      <c r="J133" s="76"/>
      <c r="K133" s="76"/>
      <c r="L133" s="76"/>
      <c r="M133" s="77"/>
      <c r="N133" s="77"/>
      <c r="O133" s="77"/>
      <c r="P133" s="77"/>
      <c r="Q133" s="77"/>
      <c r="R133" s="77"/>
      <c r="S133" s="78"/>
      <c r="T133" s="78"/>
      <c r="U133" s="78"/>
      <c r="V133" s="78"/>
      <c r="W133" s="32"/>
      <c r="X133" s="32"/>
      <c r="Y133" s="32"/>
      <c r="Z133" s="32"/>
      <c r="AA133" s="32"/>
      <c r="AB133" s="21"/>
      <c r="AC133" s="33">
        <f t="shared" si="51"/>
        <v>0</v>
      </c>
      <c r="AD133" s="109"/>
      <c r="AE133" s="109"/>
      <c r="AF133" s="110">
        <f t="shared" si="52"/>
        <v>0</v>
      </c>
      <c r="AG133" s="109"/>
      <c r="AH133" s="82">
        <v>1</v>
      </c>
    </row>
    <row r="134" spans="1:34" x14ac:dyDescent="0.15">
      <c r="A134" s="73" t="s">
        <v>62</v>
      </c>
      <c r="B134" s="73" t="s">
        <v>117</v>
      </c>
      <c r="C134" s="73" t="s">
        <v>133</v>
      </c>
      <c r="D134" s="73" t="s">
        <v>136</v>
      </c>
      <c r="E134" s="73" t="s">
        <v>44</v>
      </c>
      <c r="F134" s="73" t="s">
        <v>23</v>
      </c>
      <c r="G134" s="74">
        <v>128724.4</v>
      </c>
      <c r="H134" s="75">
        <v>-61119.8</v>
      </c>
      <c r="I134" s="75">
        <v>67604.600000000006</v>
      </c>
      <c r="J134" s="76"/>
      <c r="K134" s="76"/>
      <c r="L134" s="76"/>
      <c r="M134" s="77"/>
      <c r="N134" s="77"/>
      <c r="O134" s="77"/>
      <c r="P134" s="77"/>
      <c r="Q134" s="77"/>
      <c r="R134" s="77"/>
      <c r="S134" s="78"/>
      <c r="T134" s="78"/>
      <c r="U134" s="78"/>
      <c r="V134" s="78"/>
      <c r="W134" s="32"/>
      <c r="X134" s="32"/>
      <c r="Y134" s="32"/>
      <c r="Z134" s="32"/>
      <c r="AA134" s="32"/>
      <c r="AB134" s="21"/>
      <c r="AC134" s="33">
        <f t="shared" si="51"/>
        <v>0</v>
      </c>
      <c r="AD134" s="109"/>
      <c r="AE134" s="109"/>
      <c r="AF134" s="110">
        <f t="shared" si="52"/>
        <v>0</v>
      </c>
      <c r="AG134" s="109"/>
      <c r="AH134" s="82">
        <v>1</v>
      </c>
    </row>
    <row r="135" spans="1:34" x14ac:dyDescent="0.15">
      <c r="A135" s="73" t="s">
        <v>62</v>
      </c>
      <c r="B135" s="73" t="s">
        <v>195</v>
      </c>
      <c r="C135" s="73" t="s">
        <v>279</v>
      </c>
      <c r="D135" s="73" t="s">
        <v>470</v>
      </c>
      <c r="E135" s="73" t="s">
        <v>44</v>
      </c>
      <c r="F135" s="73" t="s">
        <v>23</v>
      </c>
      <c r="G135" s="74">
        <f>SUM(G136:G138)</f>
        <v>1228041.58</v>
      </c>
      <c r="H135" s="75">
        <f t="shared" ref="H135:I135" si="59">SUM(H136:H138)</f>
        <v>-593590.85</v>
      </c>
      <c r="I135" s="75">
        <f t="shared" si="59"/>
        <v>634450.73</v>
      </c>
      <c r="J135" s="76"/>
      <c r="K135" s="76"/>
      <c r="L135" s="76"/>
      <c r="M135" s="77"/>
      <c r="N135" s="77"/>
      <c r="O135" s="77"/>
      <c r="P135" s="77"/>
      <c r="Q135" s="77"/>
      <c r="R135" s="77"/>
      <c r="S135" s="78"/>
      <c r="T135" s="78"/>
      <c r="U135" s="78"/>
      <c r="V135" s="78"/>
      <c r="W135" s="25">
        <v>59</v>
      </c>
      <c r="X135" s="25">
        <v>57</v>
      </c>
      <c r="Y135" s="25">
        <v>72</v>
      </c>
      <c r="Z135" s="32">
        <v>79</v>
      </c>
      <c r="AA135" s="32">
        <v>78</v>
      </c>
      <c r="AB135" s="21">
        <f t="shared" ref="AB135" si="60">+(AA135-W135)/W135</f>
        <v>0.32203389830508472</v>
      </c>
      <c r="AC135" s="33">
        <f t="shared" si="51"/>
        <v>0.26712328767123289</v>
      </c>
      <c r="AD135" s="109"/>
      <c r="AE135" s="109"/>
      <c r="AF135" s="110">
        <f t="shared" si="52"/>
        <v>-4.0941456003740771E-7</v>
      </c>
      <c r="AG135" s="109"/>
      <c r="AH135" s="82">
        <v>1</v>
      </c>
    </row>
    <row r="136" spans="1:34" x14ac:dyDescent="0.15">
      <c r="A136" s="73" t="s">
        <v>62</v>
      </c>
      <c r="B136" s="73" t="s">
        <v>195</v>
      </c>
      <c r="C136" s="73" t="s">
        <v>279</v>
      </c>
      <c r="D136" s="73" t="s">
        <v>280</v>
      </c>
      <c r="E136" s="73" t="s">
        <v>44</v>
      </c>
      <c r="F136" s="73" t="s">
        <v>23</v>
      </c>
      <c r="G136" s="74">
        <v>732873.55</v>
      </c>
      <c r="H136" s="75">
        <v>-403452.05</v>
      </c>
      <c r="I136" s="75">
        <v>329421.5</v>
      </c>
      <c r="J136" s="76"/>
      <c r="K136" s="76"/>
      <c r="L136" s="76"/>
      <c r="M136" s="77"/>
      <c r="N136" s="77"/>
      <c r="O136" s="77"/>
      <c r="P136" s="77"/>
      <c r="Q136" s="77"/>
      <c r="R136" s="77"/>
      <c r="S136" s="78"/>
      <c r="T136" s="78"/>
      <c r="U136" s="78"/>
      <c r="V136" s="78"/>
      <c r="W136" s="25"/>
      <c r="X136" s="25"/>
      <c r="Y136" s="25"/>
      <c r="Z136" s="32"/>
      <c r="AA136" s="32"/>
      <c r="AB136" s="21"/>
      <c r="AC136" s="33">
        <f t="shared" si="51"/>
        <v>0</v>
      </c>
      <c r="AD136" s="109"/>
      <c r="AE136" s="109"/>
      <c r="AF136" s="110">
        <f t="shared" si="52"/>
        <v>0</v>
      </c>
      <c r="AG136" s="109"/>
      <c r="AH136" s="82">
        <v>1</v>
      </c>
    </row>
    <row r="137" spans="1:34" x14ac:dyDescent="0.15">
      <c r="A137" s="73" t="s">
        <v>62</v>
      </c>
      <c r="B137" s="73" t="s">
        <v>195</v>
      </c>
      <c r="C137" s="73" t="s">
        <v>279</v>
      </c>
      <c r="D137" s="73" t="s">
        <v>281</v>
      </c>
      <c r="E137" s="73" t="s">
        <v>44</v>
      </c>
      <c r="F137" s="73" t="s">
        <v>23</v>
      </c>
      <c r="G137" s="74">
        <v>260274.4</v>
      </c>
      <c r="H137" s="75">
        <v>-140497.60000000001</v>
      </c>
      <c r="I137" s="75">
        <v>119776.8</v>
      </c>
      <c r="J137" s="76"/>
      <c r="K137" s="76"/>
      <c r="L137" s="76"/>
      <c r="M137" s="77"/>
      <c r="N137" s="77"/>
      <c r="O137" s="77"/>
      <c r="P137" s="77"/>
      <c r="Q137" s="77"/>
      <c r="R137" s="77"/>
      <c r="S137" s="78"/>
      <c r="T137" s="78"/>
      <c r="U137" s="78"/>
      <c r="V137" s="78"/>
      <c r="W137" s="32"/>
      <c r="X137" s="32"/>
      <c r="Y137" s="32"/>
      <c r="Z137" s="32"/>
      <c r="AA137" s="32"/>
      <c r="AB137" s="21"/>
      <c r="AC137" s="33">
        <f t="shared" si="51"/>
        <v>0</v>
      </c>
      <c r="AD137" s="109"/>
      <c r="AE137" s="109"/>
      <c r="AF137" s="110">
        <f t="shared" si="52"/>
        <v>0</v>
      </c>
      <c r="AG137" s="109"/>
      <c r="AH137" s="82">
        <v>1</v>
      </c>
    </row>
    <row r="138" spans="1:34" x14ac:dyDescent="0.15">
      <c r="A138" s="73" t="s">
        <v>62</v>
      </c>
      <c r="B138" s="73" t="s">
        <v>195</v>
      </c>
      <c r="C138" s="73" t="s">
        <v>279</v>
      </c>
      <c r="D138" s="73" t="s">
        <v>282</v>
      </c>
      <c r="E138" s="73" t="s">
        <v>44</v>
      </c>
      <c r="F138" s="73" t="s">
        <v>23</v>
      </c>
      <c r="G138" s="74">
        <v>234893.63</v>
      </c>
      <c r="H138" s="75">
        <v>-49641.2</v>
      </c>
      <c r="I138" s="75">
        <v>185252.43</v>
      </c>
      <c r="J138" s="76"/>
      <c r="K138" s="76"/>
      <c r="L138" s="76"/>
      <c r="M138" s="77"/>
      <c r="N138" s="77"/>
      <c r="O138" s="77"/>
      <c r="P138" s="77"/>
      <c r="Q138" s="77"/>
      <c r="R138" s="77"/>
      <c r="S138" s="78"/>
      <c r="T138" s="78"/>
      <c r="U138" s="78"/>
      <c r="V138" s="78"/>
      <c r="W138" s="32"/>
      <c r="X138" s="32"/>
      <c r="Y138" s="32"/>
      <c r="Z138" s="32"/>
      <c r="AA138" s="32"/>
      <c r="AB138" s="21"/>
      <c r="AC138" s="33">
        <f t="shared" si="51"/>
        <v>0</v>
      </c>
      <c r="AD138" s="109"/>
      <c r="AE138" s="109"/>
      <c r="AF138" s="110">
        <f t="shared" si="52"/>
        <v>0</v>
      </c>
      <c r="AG138" s="109"/>
      <c r="AH138" s="82">
        <v>1</v>
      </c>
    </row>
    <row r="139" spans="1:34" x14ac:dyDescent="0.15">
      <c r="A139" s="73" t="s">
        <v>321</v>
      </c>
      <c r="B139" s="73" t="s">
        <v>322</v>
      </c>
      <c r="C139" s="73" t="s">
        <v>403</v>
      </c>
      <c r="D139" s="73" t="s">
        <v>468</v>
      </c>
      <c r="E139" s="73" t="s">
        <v>44</v>
      </c>
      <c r="F139" s="73" t="s">
        <v>23</v>
      </c>
      <c r="G139" s="74">
        <f>SUM(G140:G142)</f>
        <v>202615.5</v>
      </c>
      <c r="H139" s="75">
        <f t="shared" ref="H139:I139" si="61">SUM(H140:H142)</f>
        <v>-55449.710000000006</v>
      </c>
      <c r="I139" s="75">
        <f t="shared" si="61"/>
        <v>147165.79</v>
      </c>
      <c r="J139" s="76"/>
      <c r="K139" s="76"/>
      <c r="L139" s="76"/>
      <c r="M139" s="77"/>
      <c r="N139" s="77"/>
      <c r="O139" s="77"/>
      <c r="P139" s="77"/>
      <c r="Q139" s="77"/>
      <c r="R139" s="77"/>
      <c r="S139" s="78"/>
      <c r="T139" s="78"/>
      <c r="U139" s="78"/>
      <c r="V139" s="78"/>
      <c r="W139" s="32">
        <v>20</v>
      </c>
      <c r="X139" s="32">
        <v>19</v>
      </c>
      <c r="Y139" s="32">
        <v>16</v>
      </c>
      <c r="Z139" s="32">
        <v>22</v>
      </c>
      <c r="AA139" s="32">
        <v>25</v>
      </c>
      <c r="AB139" s="21">
        <f t="shared" ref="AB139" si="62">+(AA139-W139)/W139</f>
        <v>0.25</v>
      </c>
      <c r="AC139" s="33">
        <f t="shared" si="51"/>
        <v>8.5616438356164379E-2</v>
      </c>
      <c r="AD139" s="109"/>
      <c r="AE139" s="109"/>
      <c r="AF139" s="110">
        <f t="shared" si="52"/>
        <v>-3.1783498739746128E-7</v>
      </c>
      <c r="AG139" s="109"/>
      <c r="AH139" s="82">
        <v>1</v>
      </c>
    </row>
    <row r="140" spans="1:34" x14ac:dyDescent="0.15">
      <c r="A140" s="73" t="s">
        <v>321</v>
      </c>
      <c r="B140" s="73" t="s">
        <v>322</v>
      </c>
      <c r="C140" s="73" t="s">
        <v>403</v>
      </c>
      <c r="D140" s="73" t="s">
        <v>405</v>
      </c>
      <c r="E140" s="73" t="s">
        <v>44</v>
      </c>
      <c r="F140" s="73" t="s">
        <v>23</v>
      </c>
      <c r="G140" s="74">
        <v>98800.2</v>
      </c>
      <c r="H140" s="75">
        <v>-27180.21</v>
      </c>
      <c r="I140" s="75">
        <v>71619.990000000005</v>
      </c>
      <c r="J140" s="76"/>
      <c r="K140" s="76"/>
      <c r="L140" s="76"/>
      <c r="M140" s="77"/>
      <c r="N140" s="77"/>
      <c r="O140" s="77"/>
      <c r="P140" s="77"/>
      <c r="Q140" s="77"/>
      <c r="R140" s="77"/>
      <c r="S140" s="78"/>
      <c r="T140" s="78"/>
      <c r="U140" s="78"/>
      <c r="V140" s="78"/>
      <c r="W140" s="32"/>
      <c r="X140" s="32"/>
      <c r="Y140" s="32"/>
      <c r="Z140" s="32"/>
      <c r="AA140" s="32"/>
      <c r="AB140" s="21"/>
      <c r="AC140" s="33">
        <f t="shared" si="51"/>
        <v>0</v>
      </c>
      <c r="AD140" s="109"/>
      <c r="AE140" s="109"/>
      <c r="AF140" s="110">
        <f t="shared" si="52"/>
        <v>0</v>
      </c>
      <c r="AG140" s="109"/>
      <c r="AH140" s="82">
        <v>1</v>
      </c>
    </row>
    <row r="141" spans="1:34" x14ac:dyDescent="0.15">
      <c r="A141" s="73" t="s">
        <v>321</v>
      </c>
      <c r="B141" s="73" t="s">
        <v>322</v>
      </c>
      <c r="C141" s="73" t="s">
        <v>403</v>
      </c>
      <c r="D141" s="73" t="s">
        <v>406</v>
      </c>
      <c r="E141" s="73" t="s">
        <v>44</v>
      </c>
      <c r="F141" s="73" t="s">
        <v>23</v>
      </c>
      <c r="G141" s="74">
        <v>32813.1</v>
      </c>
      <c r="H141" s="75">
        <v>-10314.200000000001</v>
      </c>
      <c r="I141" s="75">
        <v>22498.9</v>
      </c>
      <c r="J141" s="76"/>
      <c r="K141" s="76"/>
      <c r="L141" s="76"/>
      <c r="M141" s="77"/>
      <c r="N141" s="77"/>
      <c r="O141" s="77"/>
      <c r="P141" s="77"/>
      <c r="Q141" s="77"/>
      <c r="R141" s="77"/>
      <c r="S141" s="78"/>
      <c r="T141" s="78"/>
      <c r="U141" s="78"/>
      <c r="V141" s="78"/>
      <c r="W141" s="32"/>
      <c r="X141" s="32"/>
      <c r="Y141" s="32"/>
      <c r="Z141" s="32"/>
      <c r="AA141" s="32"/>
      <c r="AB141" s="21"/>
      <c r="AC141" s="33">
        <f t="shared" si="51"/>
        <v>0</v>
      </c>
      <c r="AD141" s="109"/>
      <c r="AE141" s="109"/>
      <c r="AF141" s="110">
        <f t="shared" si="52"/>
        <v>0</v>
      </c>
      <c r="AG141" s="109"/>
      <c r="AH141" s="82">
        <v>1</v>
      </c>
    </row>
    <row r="142" spans="1:34" x14ac:dyDescent="0.15">
      <c r="A142" s="73" t="s">
        <v>321</v>
      </c>
      <c r="B142" s="73" t="s">
        <v>322</v>
      </c>
      <c r="C142" s="73" t="s">
        <v>403</v>
      </c>
      <c r="D142" s="73" t="s">
        <v>407</v>
      </c>
      <c r="E142" s="73" t="s">
        <v>44</v>
      </c>
      <c r="F142" s="73" t="s">
        <v>23</v>
      </c>
      <c r="G142" s="74">
        <v>71002.2</v>
      </c>
      <c r="H142" s="75">
        <v>-17955.3</v>
      </c>
      <c r="I142" s="75">
        <v>53046.9</v>
      </c>
      <c r="J142" s="76"/>
      <c r="K142" s="76"/>
      <c r="L142" s="76"/>
      <c r="M142" s="77"/>
      <c r="N142" s="77"/>
      <c r="O142" s="77"/>
      <c r="P142" s="77"/>
      <c r="Q142" s="77"/>
      <c r="R142" s="77"/>
      <c r="S142" s="78"/>
      <c r="T142" s="78"/>
      <c r="U142" s="78"/>
      <c r="V142" s="78"/>
      <c r="W142" s="32"/>
      <c r="X142" s="32"/>
      <c r="Y142" s="32"/>
      <c r="Z142" s="32"/>
      <c r="AA142" s="32"/>
      <c r="AB142" s="21"/>
      <c r="AC142" s="33">
        <f t="shared" si="51"/>
        <v>0</v>
      </c>
      <c r="AD142" s="109"/>
      <c r="AE142" s="109"/>
      <c r="AF142" s="110">
        <f t="shared" si="52"/>
        <v>0</v>
      </c>
      <c r="AG142" s="109"/>
      <c r="AH142" s="82">
        <v>1</v>
      </c>
    </row>
    <row r="143" spans="1:34" x14ac:dyDescent="0.15">
      <c r="A143" s="73" t="s">
        <v>321</v>
      </c>
      <c r="B143" s="73" t="s">
        <v>322</v>
      </c>
      <c r="C143" s="73" t="s">
        <v>414</v>
      </c>
      <c r="D143" s="73" t="s">
        <v>469</v>
      </c>
      <c r="E143" s="73" t="s">
        <v>44</v>
      </c>
      <c r="F143" s="73" t="s">
        <v>23</v>
      </c>
      <c r="G143" s="74">
        <f>SUM(G144:G146)</f>
        <v>950967.49000000011</v>
      </c>
      <c r="H143" s="75">
        <f t="shared" ref="H143:I143" si="63">SUM(H144:H146)</f>
        <v>-397568.89999999997</v>
      </c>
      <c r="I143" s="75">
        <f t="shared" si="63"/>
        <v>553398.59000000008</v>
      </c>
      <c r="J143" s="76"/>
      <c r="K143" s="76"/>
      <c r="L143" s="76"/>
      <c r="M143" s="77"/>
      <c r="N143" s="77"/>
      <c r="O143" s="77"/>
      <c r="P143" s="77"/>
      <c r="Q143" s="77"/>
      <c r="R143" s="77"/>
      <c r="S143" s="78"/>
      <c r="T143" s="78"/>
      <c r="U143" s="78"/>
      <c r="V143" s="78"/>
      <c r="W143" s="25">
        <v>76</v>
      </c>
      <c r="X143" s="25">
        <v>93</v>
      </c>
      <c r="Y143" s="32">
        <v>88</v>
      </c>
      <c r="Z143" s="32">
        <v>91</v>
      </c>
      <c r="AA143" s="32">
        <v>88</v>
      </c>
      <c r="AB143" s="21">
        <f t="shared" ref="AB143" si="64">+(AA143-W143)/W143</f>
        <v>0.15789473684210525</v>
      </c>
      <c r="AC143" s="33">
        <f t="shared" si="51"/>
        <v>0.30136986301369861</v>
      </c>
      <c r="AD143" s="109"/>
      <c r="AE143" s="109"/>
      <c r="AF143" s="110">
        <f t="shared" si="52"/>
        <v>-2.0073788677734396E-7</v>
      </c>
      <c r="AG143" s="109"/>
      <c r="AH143" s="82">
        <v>1</v>
      </c>
    </row>
    <row r="144" spans="1:34" x14ac:dyDescent="0.15">
      <c r="A144" s="73" t="s">
        <v>321</v>
      </c>
      <c r="B144" s="73" t="s">
        <v>322</v>
      </c>
      <c r="C144" s="73" t="s">
        <v>414</v>
      </c>
      <c r="D144" s="73" t="s">
        <v>415</v>
      </c>
      <c r="E144" s="73" t="s">
        <v>44</v>
      </c>
      <c r="F144" s="73" t="s">
        <v>23</v>
      </c>
      <c r="G144" s="74">
        <v>559884.68000000005</v>
      </c>
      <c r="H144" s="75">
        <v>-246944.4</v>
      </c>
      <c r="I144" s="75">
        <v>312940.28000000003</v>
      </c>
      <c r="J144" s="76"/>
      <c r="K144" s="76"/>
      <c r="L144" s="76"/>
      <c r="M144" s="77"/>
      <c r="N144" s="77"/>
      <c r="O144" s="77"/>
      <c r="P144" s="77"/>
      <c r="Q144" s="77"/>
      <c r="R144" s="77"/>
      <c r="S144" s="78" t="e">
        <f>+I144-#REF!</f>
        <v>#REF!</v>
      </c>
      <c r="T144" s="78"/>
      <c r="U144" s="78"/>
      <c r="V144" s="78"/>
      <c r="W144" s="25"/>
      <c r="X144" s="25"/>
      <c r="Y144" s="32"/>
      <c r="Z144" s="32"/>
      <c r="AA144" s="32"/>
      <c r="AB144" s="21"/>
      <c r="AD144" s="109"/>
      <c r="AE144" s="109"/>
      <c r="AG144" s="109"/>
      <c r="AH144" s="82">
        <v>1</v>
      </c>
    </row>
    <row r="145" spans="1:34" x14ac:dyDescent="0.15">
      <c r="A145" s="73" t="s">
        <v>321</v>
      </c>
      <c r="B145" s="73" t="s">
        <v>322</v>
      </c>
      <c r="C145" s="73" t="s">
        <v>414</v>
      </c>
      <c r="D145" s="73" t="s">
        <v>416</v>
      </c>
      <c r="E145" s="73" t="s">
        <v>44</v>
      </c>
      <c r="F145" s="73" t="s">
        <v>23</v>
      </c>
      <c r="G145" s="74">
        <v>218854.53</v>
      </c>
      <c r="H145" s="75">
        <v>-111647.4</v>
      </c>
      <c r="I145" s="75">
        <v>107207.13</v>
      </c>
      <c r="J145" s="76"/>
      <c r="K145" s="76"/>
      <c r="L145" s="76"/>
      <c r="M145" s="77"/>
      <c r="N145" s="77"/>
      <c r="O145" s="77"/>
      <c r="P145" s="77"/>
      <c r="Q145" s="77"/>
      <c r="R145" s="77"/>
      <c r="S145" s="78" t="e">
        <f>+I145-#REF!</f>
        <v>#REF!</v>
      </c>
      <c r="T145" s="78"/>
      <c r="U145" s="78"/>
      <c r="V145" s="78"/>
      <c r="W145" s="32"/>
      <c r="X145" s="32"/>
      <c r="Y145" s="32"/>
      <c r="Z145" s="32"/>
      <c r="AA145" s="32"/>
      <c r="AB145" s="21"/>
      <c r="AD145" s="109"/>
      <c r="AE145" s="109"/>
      <c r="AG145" s="109"/>
      <c r="AH145" s="82">
        <v>1</v>
      </c>
    </row>
    <row r="146" spans="1:34" x14ac:dyDescent="0.15">
      <c r="A146" s="73" t="s">
        <v>321</v>
      </c>
      <c r="B146" s="73" t="s">
        <v>322</v>
      </c>
      <c r="C146" s="73" t="s">
        <v>414</v>
      </c>
      <c r="D146" s="73" t="s">
        <v>417</v>
      </c>
      <c r="E146" s="73" t="s">
        <v>44</v>
      </c>
      <c r="F146" s="73" t="s">
        <v>23</v>
      </c>
      <c r="G146" s="74">
        <v>172228.28</v>
      </c>
      <c r="H146" s="75">
        <v>-38977.1</v>
      </c>
      <c r="I146" s="75">
        <v>133251.18</v>
      </c>
      <c r="J146" s="76"/>
      <c r="K146" s="76"/>
      <c r="L146" s="76"/>
      <c r="M146" s="77"/>
      <c r="N146" s="77"/>
      <c r="O146" s="77"/>
      <c r="P146" s="77"/>
      <c r="Q146" s="77"/>
      <c r="R146" s="77"/>
      <c r="S146" s="78" t="e">
        <f>+I146-#REF!</f>
        <v>#REF!</v>
      </c>
      <c r="T146" s="78"/>
      <c r="U146" s="78"/>
      <c r="V146" s="78"/>
      <c r="W146" s="32"/>
      <c r="X146" s="32"/>
      <c r="Y146" s="32"/>
      <c r="Z146" s="32"/>
      <c r="AA146" s="32"/>
      <c r="AB146" s="21"/>
      <c r="AD146" s="109"/>
      <c r="AE146" s="109"/>
      <c r="AG146" s="109"/>
      <c r="AH146" s="82">
        <v>1</v>
      </c>
    </row>
    <row r="147" spans="1:34" s="11" customFormat="1" x14ac:dyDescent="0.15">
      <c r="A147" s="67"/>
      <c r="B147" s="67" t="s">
        <v>0</v>
      </c>
      <c r="C147" s="67" t="s">
        <v>0</v>
      </c>
      <c r="D147" s="67" t="s">
        <v>0</v>
      </c>
      <c r="E147" s="67" t="s">
        <v>56</v>
      </c>
      <c r="F147" s="67" t="s">
        <v>23</v>
      </c>
      <c r="G147" s="68">
        <v>1433065.1</v>
      </c>
      <c r="H147" s="69">
        <v>-844457.09750000003</v>
      </c>
      <c r="I147" s="69">
        <v>588608.00249999994</v>
      </c>
      <c r="J147" s="69">
        <v>1651363.635</v>
      </c>
      <c r="K147" s="69">
        <f>-875715.777786237-578</f>
        <v>-876293.77778623695</v>
      </c>
      <c r="L147" s="69">
        <f>+J147+K147</f>
        <v>775069.85721376305</v>
      </c>
      <c r="M147" s="70">
        <v>-1249828.8400000001</v>
      </c>
      <c r="N147" s="70"/>
      <c r="O147" s="70">
        <v>-124940.71</v>
      </c>
      <c r="P147" s="70"/>
      <c r="Q147" s="70">
        <v>-85120.31</v>
      </c>
      <c r="R147" s="70">
        <f>+Q147+M147</f>
        <v>-1334949.1500000001</v>
      </c>
      <c r="S147" s="104">
        <f>+I147+R147</f>
        <v>-746341.1475000002</v>
      </c>
      <c r="T147" s="104">
        <f>+L147+R147</f>
        <v>-559879.29278623709</v>
      </c>
      <c r="U147" s="104">
        <f>+I147+M147</f>
        <v>-661220.83750000014</v>
      </c>
      <c r="V147" s="104">
        <f>+L147+M147</f>
        <v>-474758.98278623703</v>
      </c>
      <c r="W147" s="71">
        <f>SUM(W148:W151)</f>
        <v>138</v>
      </c>
      <c r="X147" s="71">
        <f t="shared" ref="X147:AA147" si="65">SUM(X148:X151)</f>
        <v>132</v>
      </c>
      <c r="Y147" s="71">
        <f t="shared" si="65"/>
        <v>134</v>
      </c>
      <c r="Z147" s="71">
        <f t="shared" si="65"/>
        <v>120</v>
      </c>
      <c r="AA147" s="71">
        <f t="shared" si="65"/>
        <v>119</v>
      </c>
      <c r="AB147" s="72">
        <f>+(AA147-W147)/W147</f>
        <v>-0.13768115942028986</v>
      </c>
      <c r="AD147" s="107"/>
      <c r="AE147" s="107"/>
      <c r="AF147" s="108"/>
      <c r="AG147" s="107"/>
      <c r="AH147" s="81">
        <v>1</v>
      </c>
    </row>
    <row r="148" spans="1:34" x14ac:dyDescent="0.15">
      <c r="A148" s="73" t="s">
        <v>62</v>
      </c>
      <c r="B148" s="73" t="s">
        <v>195</v>
      </c>
      <c r="C148" s="73" t="s">
        <v>311</v>
      </c>
      <c r="D148" s="73" t="s">
        <v>312</v>
      </c>
      <c r="E148" s="73" t="s">
        <v>56</v>
      </c>
      <c r="F148" s="73" t="s">
        <v>23</v>
      </c>
      <c r="G148" s="74">
        <v>320927.90000000002</v>
      </c>
      <c r="H148" s="75">
        <v>-295176.2</v>
      </c>
      <c r="I148" s="75">
        <v>25751.7</v>
      </c>
      <c r="J148" s="76"/>
      <c r="K148" s="76"/>
      <c r="L148" s="76"/>
      <c r="M148" s="77"/>
      <c r="N148" s="77"/>
      <c r="O148" s="77"/>
      <c r="P148" s="77"/>
      <c r="Q148" s="77"/>
      <c r="R148" s="77"/>
      <c r="S148" s="78"/>
      <c r="T148" s="78"/>
      <c r="U148" s="78"/>
      <c r="V148" s="78"/>
      <c r="W148" s="25">
        <v>15</v>
      </c>
      <c r="X148" s="25">
        <v>16</v>
      </c>
      <c r="Y148" s="25">
        <v>15</v>
      </c>
      <c r="Z148" s="32">
        <v>15</v>
      </c>
      <c r="AA148" s="32">
        <v>16</v>
      </c>
      <c r="AB148" s="21">
        <f t="shared" ref="AB148:AB151" si="66">+(AA148-W148)/W148</f>
        <v>6.6666666666666666E-2</v>
      </c>
      <c r="AC148" s="33">
        <f>+AA148/AA147</f>
        <v>0.13445378151260504</v>
      </c>
      <c r="AD148" s="109"/>
      <c r="AE148" s="109"/>
      <c r="AF148" s="110">
        <f>+AB148/AB147</f>
        <v>-0.48421052631578948</v>
      </c>
      <c r="AG148" s="109"/>
      <c r="AH148" s="82">
        <v>1</v>
      </c>
    </row>
    <row r="149" spans="1:34" x14ac:dyDescent="0.15">
      <c r="A149" s="73" t="s">
        <v>62</v>
      </c>
      <c r="B149" s="73" t="s">
        <v>195</v>
      </c>
      <c r="C149" s="73" t="s">
        <v>309</v>
      </c>
      <c r="D149" s="73" t="s">
        <v>310</v>
      </c>
      <c r="E149" s="73" t="s">
        <v>56</v>
      </c>
      <c r="F149" s="73" t="s">
        <v>23</v>
      </c>
      <c r="G149" s="74">
        <v>587152.19999999995</v>
      </c>
      <c r="H149" s="75">
        <v>-437890.7</v>
      </c>
      <c r="I149" s="75">
        <v>149261.5</v>
      </c>
      <c r="J149" s="76"/>
      <c r="K149" s="76"/>
      <c r="L149" s="76"/>
      <c r="M149" s="77"/>
      <c r="N149" s="77"/>
      <c r="O149" s="77"/>
      <c r="P149" s="77"/>
      <c r="Q149" s="77"/>
      <c r="R149" s="77"/>
      <c r="S149" s="78"/>
      <c r="T149" s="78"/>
      <c r="U149" s="78"/>
      <c r="V149" s="78"/>
      <c r="W149" s="25">
        <v>46</v>
      </c>
      <c r="X149" s="25">
        <v>42</v>
      </c>
      <c r="Y149" s="25">
        <v>42</v>
      </c>
      <c r="Z149" s="32">
        <v>35</v>
      </c>
      <c r="AA149" s="32">
        <v>32</v>
      </c>
      <c r="AB149" s="21">
        <f t="shared" si="66"/>
        <v>-0.30434782608695654</v>
      </c>
      <c r="AC149" s="33">
        <f>+AA149/AA147</f>
        <v>0.26890756302521007</v>
      </c>
      <c r="AD149" s="109"/>
      <c r="AE149" s="109"/>
      <c r="AF149" s="110">
        <f>+AB149/AB147</f>
        <v>2.2105263157894739</v>
      </c>
      <c r="AG149" s="109"/>
      <c r="AH149" s="82">
        <v>1</v>
      </c>
    </row>
    <row r="150" spans="1:34" x14ac:dyDescent="0.15">
      <c r="A150" s="73" t="s">
        <v>62</v>
      </c>
      <c r="B150" s="73" t="s">
        <v>195</v>
      </c>
      <c r="C150" s="73" t="s">
        <v>307</v>
      </c>
      <c r="D150" s="73" t="s">
        <v>308</v>
      </c>
      <c r="E150" s="73" t="s">
        <v>56</v>
      </c>
      <c r="F150" s="73" t="s">
        <v>23</v>
      </c>
      <c r="G150" s="74">
        <v>61505.9</v>
      </c>
      <c r="H150" s="75">
        <v>-43799.3</v>
      </c>
      <c r="I150" s="75">
        <v>17706.599999999999</v>
      </c>
      <c r="J150" s="76"/>
      <c r="K150" s="76"/>
      <c r="L150" s="76"/>
      <c r="M150" s="77"/>
      <c r="N150" s="77"/>
      <c r="O150" s="77"/>
      <c r="P150" s="77"/>
      <c r="Q150" s="77"/>
      <c r="R150" s="77"/>
      <c r="S150" s="78"/>
      <c r="T150" s="78"/>
      <c r="U150" s="78"/>
      <c r="V150" s="78"/>
      <c r="W150" s="25">
        <v>14</v>
      </c>
      <c r="X150" s="25">
        <v>10</v>
      </c>
      <c r="Y150" s="25">
        <v>7</v>
      </c>
      <c r="Z150" s="32">
        <v>10</v>
      </c>
      <c r="AA150" s="32">
        <v>9</v>
      </c>
      <c r="AB150" s="21">
        <f t="shared" si="66"/>
        <v>-0.35714285714285715</v>
      </c>
      <c r="AC150" s="33">
        <f>+AA150/AA147</f>
        <v>7.5630252100840331E-2</v>
      </c>
      <c r="AD150" s="109"/>
      <c r="AE150" s="109"/>
      <c r="AF150" s="110">
        <f>+AB150/AB147</f>
        <v>2.5939849624060152</v>
      </c>
      <c r="AG150" s="109"/>
      <c r="AH150" s="82">
        <v>2</v>
      </c>
    </row>
    <row r="151" spans="1:34" x14ac:dyDescent="0.15">
      <c r="A151" s="73" t="s">
        <v>321</v>
      </c>
      <c r="B151" s="73" t="s">
        <v>322</v>
      </c>
      <c r="C151" s="73" t="s">
        <v>440</v>
      </c>
      <c r="D151" s="73" t="s">
        <v>441</v>
      </c>
      <c r="E151" s="73" t="s">
        <v>56</v>
      </c>
      <c r="F151" s="73" t="s">
        <v>23</v>
      </c>
      <c r="G151" s="74">
        <v>463479.1</v>
      </c>
      <c r="H151" s="75">
        <v>-67590.897500000006</v>
      </c>
      <c r="I151" s="75">
        <v>395888.20250000001</v>
      </c>
      <c r="J151" s="76"/>
      <c r="K151" s="76"/>
      <c r="L151" s="76"/>
      <c r="M151" s="77"/>
      <c r="N151" s="77"/>
      <c r="O151" s="77"/>
      <c r="P151" s="77"/>
      <c r="Q151" s="77"/>
      <c r="R151" s="77"/>
      <c r="S151" s="78"/>
      <c r="T151" s="78"/>
      <c r="U151" s="78"/>
      <c r="V151" s="78"/>
      <c r="W151" s="25">
        <v>63</v>
      </c>
      <c r="X151" s="25">
        <v>64</v>
      </c>
      <c r="Y151" s="32">
        <v>70</v>
      </c>
      <c r="Z151" s="32">
        <v>60</v>
      </c>
      <c r="AA151" s="32">
        <v>62</v>
      </c>
      <c r="AB151" s="21">
        <f t="shared" si="66"/>
        <v>-1.5873015873015872E-2</v>
      </c>
      <c r="AC151" s="33">
        <f>+AA151/AA147</f>
        <v>0.52100840336134457</v>
      </c>
      <c r="AD151" s="109"/>
      <c r="AE151" s="109"/>
      <c r="AF151" s="110">
        <f>+AB151/AB147</f>
        <v>0.11528822055137844</v>
      </c>
      <c r="AG151" s="109"/>
      <c r="AH151" s="82">
        <v>1</v>
      </c>
    </row>
    <row r="152" spans="1:34" s="11" customFormat="1" x14ac:dyDescent="0.15">
      <c r="A152" s="67"/>
      <c r="B152" s="67" t="s">
        <v>0</v>
      </c>
      <c r="C152" s="67" t="s">
        <v>0</v>
      </c>
      <c r="D152" s="67" t="s">
        <v>0</v>
      </c>
      <c r="E152" s="67" t="s">
        <v>8</v>
      </c>
      <c r="F152" s="67" t="s">
        <v>9</v>
      </c>
      <c r="G152" s="68">
        <v>5521139.4699999997</v>
      </c>
      <c r="H152" s="69">
        <v>-1141897.3600000001</v>
      </c>
      <c r="I152" s="69">
        <v>4379242.1100000003</v>
      </c>
      <c r="J152" s="69">
        <f>8299616.865+56803+56803</f>
        <v>8413222.8650000002</v>
      </c>
      <c r="K152" s="69">
        <v>-1309295.81816036</v>
      </c>
      <c r="L152" s="69">
        <f>+J152+K152</f>
        <v>7103927.0468396405</v>
      </c>
      <c r="M152" s="70">
        <f>-1887071.33-1398524.51</f>
        <v>-3285595.84</v>
      </c>
      <c r="N152" s="70">
        <v>-13274.45</v>
      </c>
      <c r="O152" s="70">
        <v>-133363.1</v>
      </c>
      <c r="P152" s="70">
        <v>-12584.95</v>
      </c>
      <c r="Q152" s="70">
        <v>10578.95</v>
      </c>
      <c r="R152" s="70">
        <f>+Q152+M152</f>
        <v>-3275016.8899999997</v>
      </c>
      <c r="S152" s="104">
        <f>+I152+R152</f>
        <v>1104225.2200000007</v>
      </c>
      <c r="T152" s="104">
        <f>+L152+R152</f>
        <v>3828910.1568396408</v>
      </c>
      <c r="U152" s="104">
        <f>+I152+M152</f>
        <v>1093646.2700000005</v>
      </c>
      <c r="V152" s="104">
        <f>+L152+M152</f>
        <v>3818331.2068396406</v>
      </c>
      <c r="W152" s="71">
        <f>SUM(W153:W158)</f>
        <v>713</v>
      </c>
      <c r="X152" s="71">
        <f t="shared" ref="X152:AA152" si="67">SUM(X153:X158)</f>
        <v>785</v>
      </c>
      <c r="Y152" s="71">
        <f t="shared" si="67"/>
        <v>861</v>
      </c>
      <c r="Z152" s="71">
        <f t="shared" si="67"/>
        <v>880</v>
      </c>
      <c r="AA152" s="71">
        <f t="shared" si="67"/>
        <v>893</v>
      </c>
      <c r="AB152" s="72">
        <f>+(AA152-W152)/W152</f>
        <v>0.25245441795231416</v>
      </c>
      <c r="AD152" s="107"/>
      <c r="AE152" s="107"/>
      <c r="AF152" s="108"/>
      <c r="AG152" s="107"/>
      <c r="AH152" s="81">
        <v>1</v>
      </c>
    </row>
    <row r="153" spans="1:34" x14ac:dyDescent="0.15">
      <c r="A153" s="73" t="s">
        <v>62</v>
      </c>
      <c r="B153" s="73" t="s">
        <v>195</v>
      </c>
      <c r="C153" s="73" t="s">
        <v>204</v>
      </c>
      <c r="D153" s="73" t="s">
        <v>205</v>
      </c>
      <c r="E153" s="73" t="s">
        <v>8</v>
      </c>
      <c r="F153" s="73" t="s">
        <v>9</v>
      </c>
      <c r="G153" s="74">
        <v>65714.7</v>
      </c>
      <c r="H153" s="75"/>
      <c r="I153" s="75">
        <v>65714.7</v>
      </c>
      <c r="J153" s="76"/>
      <c r="K153" s="76"/>
      <c r="L153" s="76"/>
      <c r="M153" s="77"/>
      <c r="N153" s="77"/>
      <c r="O153" s="77"/>
      <c r="P153" s="77"/>
      <c r="Q153" s="77"/>
      <c r="R153" s="77"/>
      <c r="S153" s="78"/>
      <c r="T153" s="78"/>
      <c r="U153" s="78"/>
      <c r="V153" s="78"/>
      <c r="W153" s="32"/>
      <c r="X153" s="32"/>
      <c r="Y153" s="32"/>
      <c r="Z153" s="32"/>
      <c r="AA153" s="32">
        <v>8</v>
      </c>
      <c r="AB153" s="22"/>
      <c r="AC153" s="33">
        <f>+AA153/AA152</f>
        <v>8.9585666293393058E-3</v>
      </c>
      <c r="AD153" s="109"/>
      <c r="AE153" s="109"/>
      <c r="AF153" s="110">
        <f>+AB153/AB152</f>
        <v>0</v>
      </c>
      <c r="AG153" s="109"/>
      <c r="AH153" s="82">
        <v>1</v>
      </c>
    </row>
    <row r="154" spans="1:34" x14ac:dyDescent="0.15">
      <c r="A154" s="73" t="s">
        <v>62</v>
      </c>
      <c r="B154" s="73" t="s">
        <v>195</v>
      </c>
      <c r="C154" s="73" t="s">
        <v>208</v>
      </c>
      <c r="D154" s="73" t="s">
        <v>209</v>
      </c>
      <c r="E154" s="73" t="s">
        <v>8</v>
      </c>
      <c r="F154" s="73" t="s">
        <v>9</v>
      </c>
      <c r="G154" s="74">
        <v>106916.95</v>
      </c>
      <c r="H154" s="75">
        <v>-2485.6</v>
      </c>
      <c r="I154" s="75">
        <v>104431.35</v>
      </c>
      <c r="J154" s="76"/>
      <c r="K154" s="76"/>
      <c r="L154" s="76"/>
      <c r="M154" s="77"/>
      <c r="N154" s="77"/>
      <c r="O154" s="77"/>
      <c r="P154" s="77"/>
      <c r="Q154" s="77"/>
      <c r="R154" s="77"/>
      <c r="S154" s="78"/>
      <c r="T154" s="78"/>
      <c r="U154" s="78"/>
      <c r="V154" s="78"/>
      <c r="W154" s="25">
        <v>30</v>
      </c>
      <c r="X154" s="25">
        <v>28</v>
      </c>
      <c r="Y154" s="25">
        <v>20</v>
      </c>
      <c r="Z154" s="32">
        <v>22</v>
      </c>
      <c r="AA154" s="32">
        <v>20</v>
      </c>
      <c r="AB154" s="21">
        <f t="shared" ref="AB154:AB158" si="68">+(AA154-W154)/W154</f>
        <v>-0.33333333333333331</v>
      </c>
      <c r="AC154" s="33">
        <f>+AA154/AA152</f>
        <v>2.2396416573348264E-2</v>
      </c>
      <c r="AD154" s="109"/>
      <c r="AE154" s="109"/>
      <c r="AF154" s="110">
        <f>+AB154/AB152</f>
        <v>-1.3203703703703704</v>
      </c>
      <c r="AG154" s="109"/>
      <c r="AH154" s="82">
        <v>2</v>
      </c>
    </row>
    <row r="155" spans="1:34" x14ac:dyDescent="0.15">
      <c r="A155" s="73" t="s">
        <v>62</v>
      </c>
      <c r="B155" s="73" t="s">
        <v>63</v>
      </c>
      <c r="C155" s="73" t="s">
        <v>68</v>
      </c>
      <c r="D155" s="73" t="s">
        <v>69</v>
      </c>
      <c r="E155" s="73" t="s">
        <v>8</v>
      </c>
      <c r="F155" s="73" t="s">
        <v>9</v>
      </c>
      <c r="G155" s="74">
        <v>30660.080000000002</v>
      </c>
      <c r="H155" s="75">
        <v>-30653.83</v>
      </c>
      <c r="I155" s="75">
        <v>6.25</v>
      </c>
      <c r="J155" s="76"/>
      <c r="K155" s="76"/>
      <c r="L155" s="76"/>
      <c r="M155" s="77"/>
      <c r="N155" s="77"/>
      <c r="O155" s="77"/>
      <c r="P155" s="77"/>
      <c r="Q155" s="77"/>
      <c r="R155" s="77"/>
      <c r="S155" s="78"/>
      <c r="T155" s="78"/>
      <c r="U155" s="78"/>
      <c r="V155" s="78"/>
      <c r="W155" s="32">
        <v>11</v>
      </c>
      <c r="X155" s="32">
        <v>9</v>
      </c>
      <c r="Y155" s="32">
        <v>5</v>
      </c>
      <c r="Z155" s="32">
        <v>2</v>
      </c>
      <c r="AA155" s="32">
        <v>5</v>
      </c>
      <c r="AB155" s="21">
        <f t="shared" si="68"/>
        <v>-0.54545454545454541</v>
      </c>
      <c r="AC155" s="33">
        <f>+AA155/AA152</f>
        <v>5.5991041433370659E-3</v>
      </c>
      <c r="AD155" s="109"/>
      <c r="AE155" s="109"/>
      <c r="AF155" s="110">
        <f>+AB155/AB152</f>
        <v>-2.1606060606060606</v>
      </c>
      <c r="AG155" s="109"/>
      <c r="AH155" s="82">
        <v>2</v>
      </c>
    </row>
    <row r="156" spans="1:34" x14ac:dyDescent="0.15">
      <c r="A156" s="73" t="s">
        <v>62</v>
      </c>
      <c r="B156" s="73" t="s">
        <v>63</v>
      </c>
      <c r="C156" s="73" t="s">
        <v>95</v>
      </c>
      <c r="D156" s="73" t="s">
        <v>96</v>
      </c>
      <c r="E156" s="73" t="s">
        <v>8</v>
      </c>
      <c r="F156" s="73" t="s">
        <v>9</v>
      </c>
      <c r="G156" s="74">
        <v>24088.2</v>
      </c>
      <c r="H156" s="75">
        <v>-27469</v>
      </c>
      <c r="I156" s="75">
        <v>-3380.8</v>
      </c>
      <c r="J156" s="76"/>
      <c r="K156" s="76"/>
      <c r="L156" s="76"/>
      <c r="M156" s="77"/>
      <c r="N156" s="77"/>
      <c r="O156" s="77"/>
      <c r="P156" s="77"/>
      <c r="Q156" s="77"/>
      <c r="R156" s="77"/>
      <c r="S156" s="78"/>
      <c r="T156" s="78"/>
      <c r="U156" s="78"/>
      <c r="V156" s="78"/>
      <c r="W156" s="32">
        <v>10</v>
      </c>
      <c r="X156" s="32">
        <v>10</v>
      </c>
      <c r="Y156" s="32">
        <v>10</v>
      </c>
      <c r="Z156" s="32">
        <v>7</v>
      </c>
      <c r="AA156" s="32">
        <v>9</v>
      </c>
      <c r="AB156" s="21">
        <f t="shared" si="68"/>
        <v>-0.1</v>
      </c>
      <c r="AC156" s="33">
        <f>+AA156/AA152</f>
        <v>1.0078387458006719E-2</v>
      </c>
      <c r="AD156" s="109"/>
      <c r="AE156" s="109"/>
      <c r="AF156" s="110">
        <f>+AB156/AB152</f>
        <v>-0.39611111111111114</v>
      </c>
      <c r="AG156" s="109"/>
      <c r="AH156" s="82">
        <v>1</v>
      </c>
    </row>
    <row r="157" spans="1:34" x14ac:dyDescent="0.15">
      <c r="A157" s="73" t="s">
        <v>321</v>
      </c>
      <c r="B157" s="73" t="s">
        <v>322</v>
      </c>
      <c r="C157" s="73" t="s">
        <v>329</v>
      </c>
      <c r="D157" s="73" t="s">
        <v>330</v>
      </c>
      <c r="E157" s="73" t="s">
        <v>8</v>
      </c>
      <c r="F157" s="73" t="s">
        <v>9</v>
      </c>
      <c r="G157" s="74">
        <v>666874.69999999995</v>
      </c>
      <c r="H157" s="75">
        <v>-85241.842499999999</v>
      </c>
      <c r="I157" s="75">
        <v>581632.85750000004</v>
      </c>
      <c r="J157" s="76"/>
      <c r="K157" s="76"/>
      <c r="L157" s="76"/>
      <c r="M157" s="77"/>
      <c r="N157" s="77"/>
      <c r="O157" s="77"/>
      <c r="P157" s="77"/>
      <c r="Q157" s="77"/>
      <c r="R157" s="77"/>
      <c r="S157" s="78"/>
      <c r="T157" s="78"/>
      <c r="U157" s="78"/>
      <c r="V157" s="78"/>
      <c r="W157" s="25">
        <v>168</v>
      </c>
      <c r="X157" s="25">
        <v>193</v>
      </c>
      <c r="Y157" s="32">
        <v>261</v>
      </c>
      <c r="Z157" s="32">
        <v>254</v>
      </c>
      <c r="AA157" s="32">
        <v>273</v>
      </c>
      <c r="AB157" s="21">
        <f t="shared" si="68"/>
        <v>0.625</v>
      </c>
      <c r="AC157" s="33">
        <f>+AA157/AA152</f>
        <v>0.3057110862262038</v>
      </c>
      <c r="AD157" s="109"/>
      <c r="AE157" s="109"/>
      <c r="AF157" s="110">
        <f>+AB157/AB152</f>
        <v>2.4756944444444446</v>
      </c>
      <c r="AG157" s="109"/>
      <c r="AH157" s="82">
        <v>1</v>
      </c>
    </row>
    <row r="158" spans="1:34" x14ac:dyDescent="0.15">
      <c r="A158" s="73" t="s">
        <v>321</v>
      </c>
      <c r="B158" s="73" t="s">
        <v>322</v>
      </c>
      <c r="C158" s="73" t="s">
        <v>331</v>
      </c>
      <c r="D158" s="73" t="s">
        <v>332</v>
      </c>
      <c r="E158" s="73" t="s">
        <v>8</v>
      </c>
      <c r="F158" s="73" t="s">
        <v>9</v>
      </c>
      <c r="G158" s="74">
        <v>4626884.84</v>
      </c>
      <c r="H158" s="75">
        <v>-996047.08750000002</v>
      </c>
      <c r="I158" s="75">
        <v>3630837.7524999999</v>
      </c>
      <c r="J158" s="76"/>
      <c r="K158" s="76"/>
      <c r="L158" s="76"/>
      <c r="M158" s="77"/>
      <c r="N158" s="77"/>
      <c r="O158" s="77"/>
      <c r="P158" s="77"/>
      <c r="Q158" s="77"/>
      <c r="R158" s="77"/>
      <c r="S158" s="78"/>
      <c r="T158" s="78"/>
      <c r="U158" s="78"/>
      <c r="V158" s="78"/>
      <c r="W158" s="25">
        <v>494</v>
      </c>
      <c r="X158" s="25">
        <v>545</v>
      </c>
      <c r="Y158" s="32">
        <v>565</v>
      </c>
      <c r="Z158" s="32">
        <v>595</v>
      </c>
      <c r="AA158" s="32">
        <v>578</v>
      </c>
      <c r="AB158" s="21">
        <f t="shared" si="68"/>
        <v>0.17004048582995951</v>
      </c>
      <c r="AC158" s="33">
        <f>+AA158/AA152</f>
        <v>0.64725643896976481</v>
      </c>
      <c r="AD158" s="109"/>
      <c r="AE158" s="109"/>
      <c r="AF158" s="110">
        <f>+AB158/AB152</f>
        <v>0.67354925775978403</v>
      </c>
      <c r="AG158" s="109"/>
      <c r="AH158" s="82">
        <v>1</v>
      </c>
    </row>
    <row r="159" spans="1:34" s="11" customFormat="1" x14ac:dyDescent="0.15">
      <c r="A159" s="67"/>
      <c r="B159" s="67" t="s">
        <v>0</v>
      </c>
      <c r="C159" s="67" t="s">
        <v>0</v>
      </c>
      <c r="D159" s="67" t="s">
        <v>0</v>
      </c>
      <c r="E159" s="67" t="s">
        <v>13</v>
      </c>
      <c r="F159" s="67" t="s">
        <v>9</v>
      </c>
      <c r="G159" s="68">
        <v>2790079.1</v>
      </c>
      <c r="H159" s="69">
        <v>-629169.41</v>
      </c>
      <c r="I159" s="69">
        <v>2160909.69</v>
      </c>
      <c r="J159" s="69">
        <v>3887746.56</v>
      </c>
      <c r="K159" s="69">
        <v>-829589.03872462094</v>
      </c>
      <c r="L159" s="69">
        <f>+J159+K159</f>
        <v>3058157.5212753792</v>
      </c>
      <c r="M159" s="70">
        <f>-1435085.85-N159</f>
        <v>-1399168.6</v>
      </c>
      <c r="N159" s="70">
        <v>-35917.25</v>
      </c>
      <c r="O159" s="70"/>
      <c r="P159" s="70"/>
      <c r="Q159" s="70"/>
      <c r="R159" s="70">
        <f>+Q159+M159</f>
        <v>-1399168.6</v>
      </c>
      <c r="S159" s="104">
        <f>+I159+R159</f>
        <v>761741.08999999985</v>
      </c>
      <c r="T159" s="104">
        <f>+L159+R159</f>
        <v>1658988.9212753791</v>
      </c>
      <c r="U159" s="104">
        <f>+I159+M159</f>
        <v>761741.08999999985</v>
      </c>
      <c r="V159" s="104">
        <f>+L159+M159</f>
        <v>1658988.9212753791</v>
      </c>
      <c r="W159" s="71">
        <f>SUM(W160:W163)</f>
        <v>435</v>
      </c>
      <c r="X159" s="71">
        <f t="shared" ref="X159:AA159" si="69">SUM(X160:X163)</f>
        <v>429</v>
      </c>
      <c r="Y159" s="71">
        <f t="shared" si="69"/>
        <v>402</v>
      </c>
      <c r="Z159" s="71">
        <f t="shared" si="69"/>
        <v>361</v>
      </c>
      <c r="AA159" s="71">
        <f t="shared" si="69"/>
        <v>354</v>
      </c>
      <c r="AB159" s="72">
        <f>+(AA159-W159)/W159</f>
        <v>-0.18620689655172415</v>
      </c>
      <c r="AD159" s="107"/>
      <c r="AE159" s="107"/>
      <c r="AF159" s="108"/>
      <c r="AG159" s="107"/>
      <c r="AH159" s="81">
        <v>1</v>
      </c>
    </row>
    <row r="160" spans="1:34" x14ac:dyDescent="0.15">
      <c r="A160" s="73" t="s">
        <v>62</v>
      </c>
      <c r="B160" s="73" t="s">
        <v>63</v>
      </c>
      <c r="C160" s="73" t="s">
        <v>70</v>
      </c>
      <c r="D160" s="73" t="s">
        <v>71</v>
      </c>
      <c r="E160" s="73" t="s">
        <v>13</v>
      </c>
      <c r="F160" s="73" t="s">
        <v>9</v>
      </c>
      <c r="G160" s="74">
        <v>40948.5</v>
      </c>
      <c r="H160" s="75">
        <v>-37398.5</v>
      </c>
      <c r="I160" s="75">
        <v>3550</v>
      </c>
      <c r="J160" s="76"/>
      <c r="K160" s="76"/>
      <c r="L160" s="76"/>
      <c r="M160" s="77"/>
      <c r="N160" s="77"/>
      <c r="O160" s="77"/>
      <c r="P160" s="77"/>
      <c r="Q160" s="77"/>
      <c r="R160" s="77"/>
      <c r="S160" s="78"/>
      <c r="T160" s="78"/>
      <c r="U160" s="78"/>
      <c r="V160" s="78"/>
      <c r="W160" s="32">
        <v>22</v>
      </c>
      <c r="X160" s="32">
        <v>21</v>
      </c>
      <c r="Y160" s="32">
        <v>18</v>
      </c>
      <c r="Z160" s="32">
        <v>9</v>
      </c>
      <c r="AA160" s="32">
        <v>7</v>
      </c>
      <c r="AB160" s="21">
        <f t="shared" ref="AB160:AB163" si="70">+(AA160-W160)/W160</f>
        <v>-0.68181818181818177</v>
      </c>
      <c r="AC160" s="33">
        <f>+AA160/AA159</f>
        <v>1.977401129943503E-2</v>
      </c>
      <c r="AD160" s="109"/>
      <c r="AE160" s="109"/>
      <c r="AF160" s="110">
        <f>+AB160/AB159</f>
        <v>3.6616161616161613</v>
      </c>
      <c r="AG160" s="109"/>
      <c r="AH160" s="82">
        <v>1</v>
      </c>
    </row>
    <row r="161" spans="1:34" x14ac:dyDescent="0.15">
      <c r="A161" s="73" t="s">
        <v>62</v>
      </c>
      <c r="B161" s="73" t="s">
        <v>195</v>
      </c>
      <c r="C161" s="73" t="s">
        <v>210</v>
      </c>
      <c r="D161" s="73" t="s">
        <v>211</v>
      </c>
      <c r="E161" s="73" t="s">
        <v>13</v>
      </c>
      <c r="F161" s="73" t="s">
        <v>9</v>
      </c>
      <c r="G161" s="74">
        <v>60043.5</v>
      </c>
      <c r="H161" s="75">
        <v>-13518.4</v>
      </c>
      <c r="I161" s="75">
        <v>46525.1</v>
      </c>
      <c r="J161" s="76"/>
      <c r="K161" s="76"/>
      <c r="L161" s="76"/>
      <c r="M161" s="77"/>
      <c r="N161" s="77"/>
      <c r="O161" s="77"/>
      <c r="P161" s="77"/>
      <c r="Q161" s="77"/>
      <c r="R161" s="77"/>
      <c r="S161" s="78"/>
      <c r="T161" s="78"/>
      <c r="U161" s="78"/>
      <c r="V161" s="78"/>
      <c r="W161" s="25">
        <v>14</v>
      </c>
      <c r="X161" s="25">
        <v>10</v>
      </c>
      <c r="Y161" s="25">
        <v>11</v>
      </c>
      <c r="Z161" s="32">
        <v>14</v>
      </c>
      <c r="AA161" s="32">
        <v>9</v>
      </c>
      <c r="AB161" s="21">
        <f t="shared" si="70"/>
        <v>-0.35714285714285715</v>
      </c>
      <c r="AC161" s="33">
        <f>+AA161/AA159</f>
        <v>2.5423728813559324E-2</v>
      </c>
      <c r="AD161" s="109"/>
      <c r="AE161" s="109"/>
      <c r="AF161" s="110">
        <f>+AB161/AB159</f>
        <v>1.9179894179894179</v>
      </c>
      <c r="AG161" s="109"/>
      <c r="AH161" s="82">
        <v>1</v>
      </c>
    </row>
    <row r="162" spans="1:34" x14ac:dyDescent="0.15">
      <c r="A162" s="73" t="s">
        <v>321</v>
      </c>
      <c r="B162" s="73" t="s">
        <v>322</v>
      </c>
      <c r="C162" s="73" t="s">
        <v>335</v>
      </c>
      <c r="D162" s="73" t="s">
        <v>336</v>
      </c>
      <c r="E162" s="73" t="s">
        <v>13</v>
      </c>
      <c r="F162" s="73" t="s">
        <v>9</v>
      </c>
      <c r="G162" s="74">
        <v>2065416.82</v>
      </c>
      <c r="H162" s="75">
        <v>-403595.28</v>
      </c>
      <c r="I162" s="75">
        <v>1661821.54</v>
      </c>
      <c r="J162" s="76"/>
      <c r="K162" s="76"/>
      <c r="L162" s="76"/>
      <c r="M162" s="77"/>
      <c r="N162" s="77"/>
      <c r="O162" s="77"/>
      <c r="P162" s="77"/>
      <c r="Q162" s="77"/>
      <c r="R162" s="77"/>
      <c r="S162" s="78"/>
      <c r="T162" s="78"/>
      <c r="U162" s="78"/>
      <c r="V162" s="78"/>
      <c r="W162" s="25">
        <v>303</v>
      </c>
      <c r="X162" s="25">
        <v>296</v>
      </c>
      <c r="Y162" s="32">
        <v>275</v>
      </c>
      <c r="Z162" s="32">
        <v>251</v>
      </c>
      <c r="AA162" s="32">
        <v>263</v>
      </c>
      <c r="AB162" s="21">
        <f t="shared" si="70"/>
        <v>-0.132013201320132</v>
      </c>
      <c r="AC162" s="33">
        <f>+AA162/AA159</f>
        <v>0.74293785310734461</v>
      </c>
      <c r="AD162" s="109"/>
      <c r="AE162" s="109"/>
      <c r="AF162" s="110">
        <f>+AB162/AB159</f>
        <v>0.70895978486737554</v>
      </c>
      <c r="AG162" s="109"/>
      <c r="AH162" s="82">
        <v>1</v>
      </c>
    </row>
    <row r="163" spans="1:34" x14ac:dyDescent="0.15">
      <c r="A163" s="73" t="s">
        <v>321</v>
      </c>
      <c r="B163" s="73" t="s">
        <v>322</v>
      </c>
      <c r="C163" s="73" t="s">
        <v>337</v>
      </c>
      <c r="D163" s="73" t="s">
        <v>338</v>
      </c>
      <c r="E163" s="73" t="s">
        <v>13</v>
      </c>
      <c r="F163" s="73" t="s">
        <v>9</v>
      </c>
      <c r="G163" s="74">
        <v>623670.28</v>
      </c>
      <c r="H163" s="75">
        <v>-174657.23</v>
      </c>
      <c r="I163" s="75">
        <v>449013.05</v>
      </c>
      <c r="J163" s="76"/>
      <c r="K163" s="76"/>
      <c r="L163" s="76"/>
      <c r="M163" s="77"/>
      <c r="N163" s="77"/>
      <c r="O163" s="77"/>
      <c r="P163" s="77"/>
      <c r="Q163" s="77"/>
      <c r="R163" s="77"/>
      <c r="S163" s="78"/>
      <c r="T163" s="78"/>
      <c r="U163" s="78"/>
      <c r="V163" s="78"/>
      <c r="W163" s="25">
        <v>96</v>
      </c>
      <c r="X163" s="25">
        <v>102</v>
      </c>
      <c r="Y163" s="32">
        <v>98</v>
      </c>
      <c r="Z163" s="32">
        <v>87</v>
      </c>
      <c r="AA163" s="32">
        <v>75</v>
      </c>
      <c r="AB163" s="21">
        <f t="shared" si="70"/>
        <v>-0.21875</v>
      </c>
      <c r="AC163" s="33">
        <f>+AA163/AA159</f>
        <v>0.21186440677966101</v>
      </c>
      <c r="AD163" s="109"/>
      <c r="AE163" s="109"/>
      <c r="AF163" s="110">
        <f>+AB163/AB159</f>
        <v>1.1747685185185184</v>
      </c>
      <c r="AG163" s="109"/>
      <c r="AH163" s="82">
        <v>1</v>
      </c>
    </row>
    <row r="164" spans="1:34" s="11" customFormat="1" x14ac:dyDescent="0.15">
      <c r="A164" s="67"/>
      <c r="B164" s="67" t="s">
        <v>0</v>
      </c>
      <c r="C164" s="67" t="s">
        <v>0</v>
      </c>
      <c r="D164" s="67" t="s">
        <v>0</v>
      </c>
      <c r="E164" s="67" t="s">
        <v>14</v>
      </c>
      <c r="F164" s="67" t="s">
        <v>15</v>
      </c>
      <c r="G164" s="68">
        <v>4329961.9000000004</v>
      </c>
      <c r="H164" s="69">
        <v>-963945.86</v>
      </c>
      <c r="I164" s="69">
        <v>3366016.04</v>
      </c>
      <c r="J164" s="69">
        <v>3688229.1378000001</v>
      </c>
      <c r="K164" s="69">
        <v>-759074.73966810596</v>
      </c>
      <c r="L164" s="69">
        <f>+J164+K164</f>
        <v>2929154.3981318939</v>
      </c>
      <c r="M164" s="70">
        <f>-2079662.29-N164</f>
        <v>-2072788.01</v>
      </c>
      <c r="N164" s="70">
        <v>-6874.28</v>
      </c>
      <c r="O164" s="70">
        <v>-7415.83</v>
      </c>
      <c r="P164" s="70">
        <v>-34353.74</v>
      </c>
      <c r="Q164" s="70">
        <v>-35934.26</v>
      </c>
      <c r="R164" s="70">
        <f>+Q164+M164</f>
        <v>-2108722.27</v>
      </c>
      <c r="S164" s="104">
        <f>+I164+R164</f>
        <v>1257293.77</v>
      </c>
      <c r="T164" s="104">
        <f>+L164+R164</f>
        <v>820432.12813189393</v>
      </c>
      <c r="U164" s="104">
        <f>+I164+M164</f>
        <v>1293228.03</v>
      </c>
      <c r="V164" s="104">
        <f>+L164+M164</f>
        <v>856366.38813189394</v>
      </c>
      <c r="W164" s="71">
        <f>SUM(W165:W169)</f>
        <v>363</v>
      </c>
      <c r="X164" s="71">
        <f t="shared" ref="X164:AA164" si="71">SUM(X165:X169)</f>
        <v>404</v>
      </c>
      <c r="Y164" s="71">
        <f t="shared" si="71"/>
        <v>441</v>
      </c>
      <c r="Z164" s="71">
        <f t="shared" si="71"/>
        <v>464</v>
      </c>
      <c r="AA164" s="71">
        <f t="shared" si="71"/>
        <v>449</v>
      </c>
      <c r="AB164" s="72">
        <f>+(AA164-W164)/W164</f>
        <v>0.23691460055096419</v>
      </c>
      <c r="AD164" s="107"/>
      <c r="AE164" s="107"/>
      <c r="AF164" s="108"/>
      <c r="AG164" s="107"/>
      <c r="AH164" s="81">
        <v>1</v>
      </c>
    </row>
    <row r="165" spans="1:34" x14ac:dyDescent="0.15">
      <c r="A165" s="73" t="s">
        <v>62</v>
      </c>
      <c r="B165" s="73" t="s">
        <v>195</v>
      </c>
      <c r="C165" s="73" t="s">
        <v>212</v>
      </c>
      <c r="D165" s="73" t="s">
        <v>213</v>
      </c>
      <c r="E165" s="73" t="s">
        <v>14</v>
      </c>
      <c r="F165" s="73" t="s">
        <v>15</v>
      </c>
      <c r="G165" s="74">
        <v>326361.90000000002</v>
      </c>
      <c r="H165" s="75">
        <v>-80799.31</v>
      </c>
      <c r="I165" s="75">
        <v>245562.59</v>
      </c>
      <c r="J165" s="76"/>
      <c r="K165" s="76"/>
      <c r="L165" s="76"/>
      <c r="M165" s="77"/>
      <c r="N165" s="77"/>
      <c r="O165" s="77"/>
      <c r="P165" s="77"/>
      <c r="Q165" s="77"/>
      <c r="R165" s="77"/>
      <c r="S165" s="78"/>
      <c r="T165" s="78"/>
      <c r="U165" s="78"/>
      <c r="V165" s="78"/>
      <c r="W165" s="25">
        <v>39</v>
      </c>
      <c r="X165" s="25">
        <v>48</v>
      </c>
      <c r="Y165" s="25">
        <v>51</v>
      </c>
      <c r="Z165" s="32">
        <v>51</v>
      </c>
      <c r="AA165" s="32">
        <v>45</v>
      </c>
      <c r="AB165" s="21">
        <f t="shared" ref="AB165:AB169" si="72">+(AA165-W165)/W165</f>
        <v>0.15384615384615385</v>
      </c>
      <c r="AC165" s="33">
        <f>+AA165/AA164</f>
        <v>0.10022271714922049</v>
      </c>
      <c r="AD165" s="109"/>
      <c r="AE165" s="109"/>
      <c r="AF165" s="110">
        <f>+AB165/AB164</f>
        <v>0.6493738819320215</v>
      </c>
      <c r="AG165" s="109"/>
      <c r="AH165" s="82">
        <v>1</v>
      </c>
    </row>
    <row r="166" spans="1:34" x14ac:dyDescent="0.15">
      <c r="A166" s="73" t="s">
        <v>62</v>
      </c>
      <c r="B166" s="73" t="s">
        <v>148</v>
      </c>
      <c r="C166" s="73" t="s">
        <v>162</v>
      </c>
      <c r="D166" s="73" t="s">
        <v>163</v>
      </c>
      <c r="E166" s="73" t="s">
        <v>14</v>
      </c>
      <c r="F166" s="73" t="s">
        <v>15</v>
      </c>
      <c r="G166" s="74">
        <v>3999.6</v>
      </c>
      <c r="H166" s="75"/>
      <c r="I166" s="75">
        <v>3999.6</v>
      </c>
      <c r="J166" s="76"/>
      <c r="K166" s="76"/>
      <c r="L166" s="76"/>
      <c r="M166" s="77"/>
      <c r="N166" s="77"/>
      <c r="O166" s="77"/>
      <c r="P166" s="77"/>
      <c r="Q166" s="77"/>
      <c r="R166" s="77"/>
      <c r="S166" s="78"/>
      <c r="T166" s="78"/>
      <c r="U166" s="78"/>
      <c r="V166" s="78"/>
      <c r="W166" s="25">
        <v>2</v>
      </c>
      <c r="X166" s="25">
        <v>3</v>
      </c>
      <c r="Y166" s="25">
        <v>7</v>
      </c>
      <c r="Z166" s="32">
        <v>10</v>
      </c>
      <c r="AA166" s="32">
        <v>5</v>
      </c>
      <c r="AB166" s="21">
        <f t="shared" si="72"/>
        <v>1.5</v>
      </c>
      <c r="AC166" s="33">
        <f>+AA166/AA164</f>
        <v>1.1135857461024499E-2</v>
      </c>
      <c r="AD166" s="109"/>
      <c r="AE166" s="109"/>
      <c r="AF166" s="110">
        <f>+AB166/AB164</f>
        <v>6.3313953488372094</v>
      </c>
      <c r="AG166" s="109"/>
      <c r="AH166" s="82">
        <v>1</v>
      </c>
    </row>
    <row r="167" spans="1:34" x14ac:dyDescent="0.15">
      <c r="A167" s="73" t="s">
        <v>62</v>
      </c>
      <c r="B167" s="73" t="s">
        <v>195</v>
      </c>
      <c r="C167" s="73" t="s">
        <v>260</v>
      </c>
      <c r="D167" s="73" t="s">
        <v>261</v>
      </c>
      <c r="E167" s="73" t="s">
        <v>14</v>
      </c>
      <c r="F167" s="73" t="s">
        <v>15</v>
      </c>
      <c r="G167" s="74">
        <v>293903.95</v>
      </c>
      <c r="H167" s="75">
        <v>-98164.85</v>
      </c>
      <c r="I167" s="75">
        <v>195739.1</v>
      </c>
      <c r="J167" s="76"/>
      <c r="K167" s="76"/>
      <c r="L167" s="76"/>
      <c r="M167" s="77"/>
      <c r="N167" s="77"/>
      <c r="O167" s="77"/>
      <c r="P167" s="77"/>
      <c r="Q167" s="77"/>
      <c r="R167" s="77"/>
      <c r="S167" s="78"/>
      <c r="T167" s="78"/>
      <c r="U167" s="78"/>
      <c r="V167" s="78"/>
      <c r="W167" s="25">
        <v>28</v>
      </c>
      <c r="X167" s="25">
        <v>29</v>
      </c>
      <c r="Y167" s="25">
        <v>37</v>
      </c>
      <c r="Z167" s="32">
        <v>39</v>
      </c>
      <c r="AA167" s="32">
        <v>33</v>
      </c>
      <c r="AB167" s="21">
        <f t="shared" si="72"/>
        <v>0.17857142857142858</v>
      </c>
      <c r="AC167" s="33">
        <f>+AA167/AA164</f>
        <v>7.3496659242761692E-2</v>
      </c>
      <c r="AD167" s="109"/>
      <c r="AE167" s="109"/>
      <c r="AF167" s="110">
        <f>+AB167/AB164</f>
        <v>0.75373754152823924</v>
      </c>
      <c r="AG167" s="109"/>
      <c r="AH167" s="82">
        <v>1</v>
      </c>
    </row>
    <row r="168" spans="1:34" x14ac:dyDescent="0.15">
      <c r="A168" s="73" t="s">
        <v>321</v>
      </c>
      <c r="B168" s="73" t="s">
        <v>322</v>
      </c>
      <c r="C168" s="73" t="s">
        <v>339</v>
      </c>
      <c r="D168" s="73" t="s">
        <v>340</v>
      </c>
      <c r="E168" s="73" t="s">
        <v>14</v>
      </c>
      <c r="F168" s="73" t="s">
        <v>15</v>
      </c>
      <c r="G168" s="74">
        <v>1263866.42</v>
      </c>
      <c r="H168" s="75">
        <v>-299010.7</v>
      </c>
      <c r="I168" s="75">
        <v>964855.72</v>
      </c>
      <c r="J168" s="76"/>
      <c r="K168" s="76"/>
      <c r="L168" s="76"/>
      <c r="M168" s="77"/>
      <c r="N168" s="77"/>
      <c r="O168" s="77"/>
      <c r="P168" s="77"/>
      <c r="Q168" s="77"/>
      <c r="R168" s="77"/>
      <c r="S168" s="78"/>
      <c r="T168" s="78"/>
      <c r="U168" s="78"/>
      <c r="V168" s="78"/>
      <c r="W168" s="25">
        <v>106</v>
      </c>
      <c r="X168" s="25">
        <v>116</v>
      </c>
      <c r="Y168" s="32">
        <v>121</v>
      </c>
      <c r="Z168" s="32">
        <v>120</v>
      </c>
      <c r="AA168" s="32">
        <v>134</v>
      </c>
      <c r="AB168" s="21">
        <f t="shared" si="72"/>
        <v>0.26415094339622641</v>
      </c>
      <c r="AC168" s="33">
        <f>+AA168/AA164</f>
        <v>0.2984409799554566</v>
      </c>
      <c r="AD168" s="109"/>
      <c r="AE168" s="109"/>
      <c r="AF168" s="110">
        <f>+AB168/AB164</f>
        <v>1.1149627029398859</v>
      </c>
      <c r="AG168" s="109"/>
      <c r="AH168" s="82">
        <v>1</v>
      </c>
    </row>
    <row r="169" spans="1:34" x14ac:dyDescent="0.15">
      <c r="A169" s="73" t="s">
        <v>321</v>
      </c>
      <c r="B169" s="73" t="s">
        <v>322</v>
      </c>
      <c r="C169" s="73" t="s">
        <v>397</v>
      </c>
      <c r="D169" s="73" t="s">
        <v>398</v>
      </c>
      <c r="E169" s="73" t="s">
        <v>14</v>
      </c>
      <c r="F169" s="73" t="s">
        <v>15</v>
      </c>
      <c r="G169" s="74">
        <v>2441830.0299999998</v>
      </c>
      <c r="H169" s="75">
        <v>-485971</v>
      </c>
      <c r="I169" s="75">
        <v>1955859.03</v>
      </c>
      <c r="J169" s="76"/>
      <c r="K169" s="76"/>
      <c r="L169" s="76"/>
      <c r="M169" s="77"/>
      <c r="N169" s="77"/>
      <c r="O169" s="77"/>
      <c r="P169" s="77"/>
      <c r="Q169" s="77"/>
      <c r="R169" s="77"/>
      <c r="S169" s="78"/>
      <c r="T169" s="78"/>
      <c r="U169" s="78"/>
      <c r="V169" s="78"/>
      <c r="W169" s="25">
        <v>188</v>
      </c>
      <c r="X169" s="25">
        <v>208</v>
      </c>
      <c r="Y169" s="32">
        <v>225</v>
      </c>
      <c r="Z169" s="32">
        <v>244</v>
      </c>
      <c r="AA169" s="32">
        <v>232</v>
      </c>
      <c r="AB169" s="21">
        <f t="shared" si="72"/>
        <v>0.23404255319148937</v>
      </c>
      <c r="AC169" s="33">
        <f>+AA169/AA164</f>
        <v>0.51670378619153678</v>
      </c>
      <c r="AD169" s="109"/>
      <c r="AE169" s="109"/>
      <c r="AF169" s="110">
        <f>+AB169/AB164</f>
        <v>0.98787728847105394</v>
      </c>
      <c r="AG169" s="109"/>
      <c r="AH169" s="82">
        <v>1</v>
      </c>
    </row>
    <row r="170" spans="1:34" s="11" customFormat="1" x14ac:dyDescent="0.15">
      <c r="A170" s="67"/>
      <c r="B170" s="67" t="s">
        <v>0</v>
      </c>
      <c r="C170" s="67" t="s">
        <v>0</v>
      </c>
      <c r="D170" s="67" t="s">
        <v>0</v>
      </c>
      <c r="E170" s="67" t="s">
        <v>17</v>
      </c>
      <c r="F170" s="67" t="s">
        <v>15</v>
      </c>
      <c r="G170" s="68">
        <v>13293540.73</v>
      </c>
      <c r="H170" s="69">
        <v>-3454564.8174999999</v>
      </c>
      <c r="I170" s="69">
        <v>9838975.9124999996</v>
      </c>
      <c r="J170" s="69">
        <v>11363367.062200001</v>
      </c>
      <c r="K170" s="69">
        <v>-3027972.6234504199</v>
      </c>
      <c r="L170" s="69">
        <f>+J170+K170</f>
        <v>8335394.4387495806</v>
      </c>
      <c r="M170" s="70">
        <f>-3637899.01-N170</f>
        <v>-3578485.0799999996</v>
      </c>
      <c r="N170" s="70">
        <v>-59413.93</v>
      </c>
      <c r="O170" s="70">
        <v>-14440.6</v>
      </c>
      <c r="P170" s="70">
        <v>-410080.43</v>
      </c>
      <c r="Q170" s="70"/>
      <c r="R170" s="70">
        <f>+Q170+M170</f>
        <v>-3578485.0799999996</v>
      </c>
      <c r="S170" s="104">
        <f>+I170+R170</f>
        <v>6260490.8324999996</v>
      </c>
      <c r="T170" s="104">
        <f>+L170+R170</f>
        <v>4756909.3587495815</v>
      </c>
      <c r="U170" s="104">
        <f>+I170+M170</f>
        <v>6260490.8324999996</v>
      </c>
      <c r="V170" s="104">
        <f>+L170+M170</f>
        <v>4756909.3587495815</v>
      </c>
      <c r="W170" s="71">
        <f>SUM(W171:W180)</f>
        <v>1647</v>
      </c>
      <c r="X170" s="71">
        <f t="shared" ref="X170:AA170" si="73">SUM(X171:X180)</f>
        <v>1517</v>
      </c>
      <c r="Y170" s="71">
        <f t="shared" si="73"/>
        <v>1332</v>
      </c>
      <c r="Z170" s="71">
        <f t="shared" si="73"/>
        <v>1298</v>
      </c>
      <c r="AA170" s="71">
        <f t="shared" si="73"/>
        <v>1329</v>
      </c>
      <c r="AB170" s="72">
        <f>+(AA170-W170)/W170</f>
        <v>-0.19307832422586521</v>
      </c>
      <c r="AD170" s="107"/>
      <c r="AE170" s="107"/>
      <c r="AF170" s="108"/>
      <c r="AG170" s="107"/>
      <c r="AH170" s="81">
        <v>1</v>
      </c>
    </row>
    <row r="171" spans="1:34" x14ac:dyDescent="0.15">
      <c r="A171" s="73" t="s">
        <v>62</v>
      </c>
      <c r="B171" s="73" t="s">
        <v>63</v>
      </c>
      <c r="C171" s="73" t="s">
        <v>74</v>
      </c>
      <c r="D171" s="73" t="s">
        <v>75</v>
      </c>
      <c r="E171" s="73" t="s">
        <v>17</v>
      </c>
      <c r="F171" s="73" t="s">
        <v>15</v>
      </c>
      <c r="G171" s="74">
        <v>265332.7</v>
      </c>
      <c r="H171" s="75">
        <v>-215273.1</v>
      </c>
      <c r="I171" s="75">
        <v>50059.6</v>
      </c>
      <c r="J171" s="76"/>
      <c r="K171" s="76"/>
      <c r="L171" s="76"/>
      <c r="M171" s="77"/>
      <c r="N171" s="77"/>
      <c r="O171" s="77"/>
      <c r="P171" s="77"/>
      <c r="Q171" s="77"/>
      <c r="R171" s="77"/>
      <c r="S171" s="78"/>
      <c r="T171" s="78"/>
      <c r="U171" s="78"/>
      <c r="V171" s="78"/>
      <c r="W171" s="32">
        <v>15</v>
      </c>
      <c r="X171" s="32">
        <v>17</v>
      </c>
      <c r="Y171" s="32">
        <v>26</v>
      </c>
      <c r="Z171" s="32">
        <v>28</v>
      </c>
      <c r="AA171" s="32">
        <v>36</v>
      </c>
      <c r="AB171" s="21">
        <f>+(AA171-W171)/W171</f>
        <v>1.4</v>
      </c>
      <c r="AC171" s="33">
        <f>+AA171/AA170</f>
        <v>2.7088036117381489E-2</v>
      </c>
      <c r="AD171" s="109"/>
      <c r="AE171" s="109"/>
      <c r="AF171" s="110">
        <f>+AB171/AB170</f>
        <v>-7.2509433962264147</v>
      </c>
      <c r="AG171" s="109"/>
      <c r="AH171" s="82">
        <v>1</v>
      </c>
    </row>
    <row r="172" spans="1:34" x14ac:dyDescent="0.15">
      <c r="A172" s="73" t="s">
        <v>62</v>
      </c>
      <c r="B172" s="73" t="s">
        <v>63</v>
      </c>
      <c r="C172" s="73" t="s">
        <v>72</v>
      </c>
      <c r="D172" s="73" t="s">
        <v>73</v>
      </c>
      <c r="E172" s="73" t="s">
        <v>17</v>
      </c>
      <c r="F172" s="73" t="s">
        <v>15</v>
      </c>
      <c r="G172" s="74">
        <v>62909.5</v>
      </c>
      <c r="H172" s="75">
        <v>-51896.959999999999</v>
      </c>
      <c r="I172" s="75">
        <v>11012.54</v>
      </c>
      <c r="J172" s="76"/>
      <c r="K172" s="76"/>
      <c r="L172" s="76"/>
      <c r="M172" s="77"/>
      <c r="N172" s="77"/>
      <c r="O172" s="77"/>
      <c r="P172" s="77"/>
      <c r="Q172" s="77"/>
      <c r="R172" s="77"/>
      <c r="S172" s="78"/>
      <c r="T172" s="78"/>
      <c r="U172" s="78"/>
      <c r="V172" s="78"/>
      <c r="W172" s="32"/>
      <c r="X172" s="32"/>
      <c r="Y172" s="32"/>
      <c r="Z172" s="32">
        <v>21</v>
      </c>
      <c r="AA172" s="32">
        <v>37</v>
      </c>
      <c r="AB172" s="21">
        <f>+(AA172-Z172)/Z172</f>
        <v>0.76190476190476186</v>
      </c>
      <c r="AC172" s="33">
        <f>+AA172/AA170</f>
        <v>2.784048156508653E-2</v>
      </c>
      <c r="AD172" s="109"/>
      <c r="AE172" s="109"/>
      <c r="AG172" s="109"/>
      <c r="AH172" s="82">
        <v>1</v>
      </c>
    </row>
    <row r="173" spans="1:34" x14ac:dyDescent="0.15">
      <c r="A173" s="73" t="s">
        <v>62</v>
      </c>
      <c r="B173" s="73" t="s">
        <v>63</v>
      </c>
      <c r="C173" s="73" t="s">
        <v>82</v>
      </c>
      <c r="D173" s="73" t="s">
        <v>83</v>
      </c>
      <c r="E173" s="73" t="s">
        <v>17</v>
      </c>
      <c r="F173" s="73" t="s">
        <v>15</v>
      </c>
      <c r="G173" s="74">
        <v>198774.2</v>
      </c>
      <c r="H173" s="75">
        <v>-168010.56</v>
      </c>
      <c r="I173" s="75">
        <v>30763.64</v>
      </c>
      <c r="J173" s="76"/>
      <c r="K173" s="76"/>
      <c r="L173" s="76"/>
      <c r="M173" s="77"/>
      <c r="N173" s="77"/>
      <c r="O173" s="77"/>
      <c r="P173" s="77"/>
      <c r="Q173" s="77"/>
      <c r="R173" s="77"/>
      <c r="S173" s="78"/>
      <c r="T173" s="78"/>
      <c r="U173" s="78"/>
      <c r="V173" s="78"/>
      <c r="W173" s="32">
        <v>32</v>
      </c>
      <c r="X173" s="32">
        <v>37</v>
      </c>
      <c r="Y173" s="32">
        <v>44</v>
      </c>
      <c r="Z173" s="32">
        <v>42</v>
      </c>
      <c r="AA173" s="32">
        <v>41</v>
      </c>
      <c r="AB173" s="21">
        <f t="shared" ref="AB173:AB180" si="74">+(AA173-W173)/W173</f>
        <v>0.28125</v>
      </c>
      <c r="AC173" s="33">
        <f>+AA173/$AA$170</f>
        <v>3.0850263355906696E-2</v>
      </c>
      <c r="AD173" s="109"/>
      <c r="AE173" s="109"/>
      <c r="AG173" s="109"/>
      <c r="AH173" s="82">
        <v>1</v>
      </c>
    </row>
    <row r="174" spans="1:34" x14ac:dyDescent="0.15">
      <c r="A174" s="73" t="s">
        <v>62</v>
      </c>
      <c r="B174" s="73" t="s">
        <v>63</v>
      </c>
      <c r="C174" s="73" t="s">
        <v>115</v>
      </c>
      <c r="D174" s="73" t="s">
        <v>116</v>
      </c>
      <c r="E174" s="73" t="s">
        <v>17</v>
      </c>
      <c r="F174" s="73" t="s">
        <v>15</v>
      </c>
      <c r="G174" s="74">
        <v>25048.3</v>
      </c>
      <c r="H174" s="75">
        <v>-24184</v>
      </c>
      <c r="I174" s="75">
        <v>864.3</v>
      </c>
      <c r="J174" s="76"/>
      <c r="K174" s="76"/>
      <c r="L174" s="76"/>
      <c r="M174" s="77"/>
      <c r="N174" s="77"/>
      <c r="O174" s="77"/>
      <c r="P174" s="77"/>
      <c r="Q174" s="77"/>
      <c r="R174" s="77"/>
      <c r="S174" s="78"/>
      <c r="T174" s="78"/>
      <c r="U174" s="78"/>
      <c r="V174" s="78"/>
      <c r="W174" s="32">
        <v>18</v>
      </c>
      <c r="X174" s="32">
        <v>19</v>
      </c>
      <c r="Y174" s="32">
        <v>24</v>
      </c>
      <c r="Z174" s="32">
        <v>14</v>
      </c>
      <c r="AA174" s="32">
        <v>10</v>
      </c>
      <c r="AB174" s="21">
        <f t="shared" si="74"/>
        <v>-0.44444444444444442</v>
      </c>
      <c r="AC174" s="33">
        <f t="shared" ref="AC174:AC180" si="75">+AA174/$AA$170</f>
        <v>7.5244544770504138E-3</v>
      </c>
      <c r="AD174" s="109"/>
      <c r="AE174" s="109"/>
      <c r="AG174" s="109"/>
      <c r="AH174" s="82">
        <v>1</v>
      </c>
    </row>
    <row r="175" spans="1:34" x14ac:dyDescent="0.15">
      <c r="A175" s="73" t="s">
        <v>62</v>
      </c>
      <c r="B175" s="73" t="s">
        <v>195</v>
      </c>
      <c r="C175" s="73" t="s">
        <v>214</v>
      </c>
      <c r="D175" s="73" t="s">
        <v>215</v>
      </c>
      <c r="E175" s="73" t="s">
        <v>17</v>
      </c>
      <c r="F175" s="73" t="s">
        <v>15</v>
      </c>
      <c r="G175" s="74">
        <v>3712661.51</v>
      </c>
      <c r="H175" s="75">
        <v>-1337667.02</v>
      </c>
      <c r="I175" s="75">
        <v>2374994.4900000002</v>
      </c>
      <c r="J175" s="76"/>
      <c r="K175" s="76"/>
      <c r="L175" s="76"/>
      <c r="M175" s="77"/>
      <c r="N175" s="77"/>
      <c r="O175" s="77"/>
      <c r="P175" s="77"/>
      <c r="Q175" s="77"/>
      <c r="R175" s="77"/>
      <c r="S175" s="78"/>
      <c r="T175" s="78"/>
      <c r="U175" s="78"/>
      <c r="V175" s="78"/>
      <c r="W175" s="25">
        <v>376</v>
      </c>
      <c r="X175" s="25">
        <v>403</v>
      </c>
      <c r="Y175" s="25">
        <v>332</v>
      </c>
      <c r="Z175" s="32">
        <v>296</v>
      </c>
      <c r="AA175" s="32">
        <v>310</v>
      </c>
      <c r="AB175" s="21">
        <f t="shared" si="74"/>
        <v>-0.17553191489361702</v>
      </c>
      <c r="AC175" s="33">
        <f t="shared" si="75"/>
        <v>0.23325808878856283</v>
      </c>
      <c r="AD175" s="109"/>
      <c r="AE175" s="109"/>
      <c r="AG175" s="109"/>
      <c r="AH175" s="82">
        <v>1</v>
      </c>
    </row>
    <row r="176" spans="1:34" x14ac:dyDescent="0.15">
      <c r="A176" s="73" t="s">
        <v>62</v>
      </c>
      <c r="B176" s="73" t="s">
        <v>195</v>
      </c>
      <c r="C176" s="73" t="s">
        <v>235</v>
      </c>
      <c r="D176" s="73" t="s">
        <v>236</v>
      </c>
      <c r="E176" s="73" t="s">
        <v>17</v>
      </c>
      <c r="F176" s="73" t="s">
        <v>15</v>
      </c>
      <c r="G176" s="74">
        <v>772093.7</v>
      </c>
      <c r="H176" s="75">
        <v>-229718.39</v>
      </c>
      <c r="I176" s="75">
        <v>542375.31000000006</v>
      </c>
      <c r="J176" s="76"/>
      <c r="K176" s="76"/>
      <c r="L176" s="76"/>
      <c r="M176" s="77"/>
      <c r="N176" s="77"/>
      <c r="O176" s="77"/>
      <c r="P176" s="77"/>
      <c r="Q176" s="77"/>
      <c r="R176" s="77"/>
      <c r="S176" s="78"/>
      <c r="T176" s="78"/>
      <c r="U176" s="78"/>
      <c r="V176" s="78"/>
      <c r="W176" s="25">
        <v>536</v>
      </c>
      <c r="X176" s="25">
        <v>337</v>
      </c>
      <c r="Y176" s="25">
        <v>172</v>
      </c>
      <c r="Z176" s="32">
        <v>110</v>
      </c>
      <c r="AA176" s="32">
        <v>92</v>
      </c>
      <c r="AB176" s="21">
        <f t="shared" si="74"/>
        <v>-0.82835820895522383</v>
      </c>
      <c r="AC176" s="33">
        <f t="shared" si="75"/>
        <v>6.9224981188863804E-2</v>
      </c>
      <c r="AD176" s="109"/>
      <c r="AE176" s="109"/>
      <c r="AG176" s="109"/>
      <c r="AH176" s="83">
        <v>1</v>
      </c>
    </row>
    <row r="177" spans="1:34" x14ac:dyDescent="0.15">
      <c r="A177" s="73" t="s">
        <v>321</v>
      </c>
      <c r="B177" s="73" t="s">
        <v>322</v>
      </c>
      <c r="C177" s="73" t="s">
        <v>343</v>
      </c>
      <c r="D177" s="73" t="s">
        <v>344</v>
      </c>
      <c r="E177" s="73" t="s">
        <v>17</v>
      </c>
      <c r="F177" s="73" t="s">
        <v>15</v>
      </c>
      <c r="G177" s="74">
        <v>406901.88</v>
      </c>
      <c r="H177" s="75">
        <v>-95863.7</v>
      </c>
      <c r="I177" s="75">
        <v>311038.18</v>
      </c>
      <c r="J177" s="76"/>
      <c r="K177" s="76"/>
      <c r="L177" s="76"/>
      <c r="M177" s="77"/>
      <c r="N177" s="77"/>
      <c r="O177" s="77"/>
      <c r="P177" s="77"/>
      <c r="Q177" s="77"/>
      <c r="R177" s="77"/>
      <c r="S177" s="78"/>
      <c r="T177" s="78"/>
      <c r="U177" s="78"/>
      <c r="V177" s="78"/>
      <c r="W177" s="25">
        <v>29</v>
      </c>
      <c r="X177" s="25">
        <v>33</v>
      </c>
      <c r="Y177" s="32">
        <v>33</v>
      </c>
      <c r="Z177" s="32">
        <v>58</v>
      </c>
      <c r="AA177" s="32">
        <v>52</v>
      </c>
      <c r="AB177" s="21">
        <f t="shared" si="74"/>
        <v>0.7931034482758621</v>
      </c>
      <c r="AC177" s="33">
        <f t="shared" si="75"/>
        <v>3.9127163280662153E-2</v>
      </c>
      <c r="AD177" s="109"/>
      <c r="AE177" s="109"/>
      <c r="AF177" s="110">
        <f t="shared" ref="AF177:AF180" si="76">+AB177/$U$170</f>
        <v>1.2668390857768453E-7</v>
      </c>
      <c r="AG177" s="109"/>
      <c r="AH177" s="82">
        <v>1</v>
      </c>
    </row>
    <row r="178" spans="1:34" x14ac:dyDescent="0.15">
      <c r="A178" s="73" t="s">
        <v>321</v>
      </c>
      <c r="B178" s="73" t="s">
        <v>322</v>
      </c>
      <c r="C178" s="73" t="s">
        <v>345</v>
      </c>
      <c r="D178" s="73" t="s">
        <v>346</v>
      </c>
      <c r="E178" s="73" t="s">
        <v>17</v>
      </c>
      <c r="F178" s="73" t="s">
        <v>15</v>
      </c>
      <c r="G178" s="74">
        <v>3670387.17</v>
      </c>
      <c r="H178" s="75">
        <v>-837011.99250000005</v>
      </c>
      <c r="I178" s="75">
        <v>2833375.1775000002</v>
      </c>
      <c r="J178" s="76"/>
      <c r="K178" s="76"/>
      <c r="L178" s="76"/>
      <c r="M178" s="77"/>
      <c r="N178" s="77"/>
      <c r="O178" s="77"/>
      <c r="P178" s="77"/>
      <c r="Q178" s="77"/>
      <c r="R178" s="77"/>
      <c r="S178" s="78"/>
      <c r="T178" s="78"/>
      <c r="U178" s="78"/>
      <c r="V178" s="78"/>
      <c r="W178" s="25">
        <v>302</v>
      </c>
      <c r="X178" s="25">
        <v>307</v>
      </c>
      <c r="Y178" s="32">
        <v>329</v>
      </c>
      <c r="Z178" s="32">
        <v>359</v>
      </c>
      <c r="AA178" s="32">
        <v>390</v>
      </c>
      <c r="AB178" s="21">
        <f t="shared" si="74"/>
        <v>0.29139072847682118</v>
      </c>
      <c r="AC178" s="33">
        <f t="shared" si="75"/>
        <v>0.29345372460496616</v>
      </c>
      <c r="AD178" s="109"/>
      <c r="AE178" s="109"/>
      <c r="AF178" s="110">
        <f t="shared" si="76"/>
        <v>4.6544390251979691E-8</v>
      </c>
      <c r="AG178" s="109"/>
      <c r="AH178" s="82">
        <v>1</v>
      </c>
    </row>
    <row r="179" spans="1:34" x14ac:dyDescent="0.15">
      <c r="A179" s="73" t="s">
        <v>321</v>
      </c>
      <c r="B179" s="73" t="s">
        <v>322</v>
      </c>
      <c r="C179" s="73" t="s">
        <v>359</v>
      </c>
      <c r="D179" s="73" t="s">
        <v>360</v>
      </c>
      <c r="E179" s="73" t="s">
        <v>17</v>
      </c>
      <c r="F179" s="73" t="s">
        <v>15</v>
      </c>
      <c r="G179" s="74">
        <v>3516616.34</v>
      </c>
      <c r="H179" s="75">
        <v>-409133.79749999999</v>
      </c>
      <c r="I179" s="75">
        <v>3107482.5425</v>
      </c>
      <c r="J179" s="76"/>
      <c r="K179" s="76"/>
      <c r="L179" s="76"/>
      <c r="M179" s="77"/>
      <c r="N179" s="77"/>
      <c r="O179" s="77"/>
      <c r="P179" s="77"/>
      <c r="Q179" s="77"/>
      <c r="R179" s="77"/>
      <c r="S179" s="78"/>
      <c r="T179" s="78"/>
      <c r="U179" s="78"/>
      <c r="V179" s="78"/>
      <c r="W179" s="25">
        <v>264</v>
      </c>
      <c r="X179" s="25">
        <v>282</v>
      </c>
      <c r="Y179" s="32">
        <v>277</v>
      </c>
      <c r="Z179" s="32">
        <v>279</v>
      </c>
      <c r="AA179" s="32">
        <v>285</v>
      </c>
      <c r="AB179" s="21">
        <f t="shared" si="74"/>
        <v>7.9545454545454544E-2</v>
      </c>
      <c r="AC179" s="33">
        <f t="shared" si="75"/>
        <v>0.2144469525959368</v>
      </c>
      <c r="AD179" s="109"/>
      <c r="AE179" s="109"/>
      <c r="AF179" s="110">
        <f t="shared" si="76"/>
        <v>1.2705945376121521E-8</v>
      </c>
      <c r="AG179" s="109"/>
      <c r="AH179" s="82">
        <v>1</v>
      </c>
    </row>
    <row r="180" spans="1:34" x14ac:dyDescent="0.15">
      <c r="A180" s="73" t="s">
        <v>321</v>
      </c>
      <c r="B180" s="73" t="s">
        <v>322</v>
      </c>
      <c r="C180" s="73" t="s">
        <v>385</v>
      </c>
      <c r="D180" s="73" t="s">
        <v>386</v>
      </c>
      <c r="E180" s="73" t="s">
        <v>17</v>
      </c>
      <c r="F180" s="73" t="s">
        <v>15</v>
      </c>
      <c r="G180" s="74">
        <v>662815.43000000005</v>
      </c>
      <c r="H180" s="75">
        <v>-85805.297500000001</v>
      </c>
      <c r="I180" s="75">
        <v>577010.13249999995</v>
      </c>
      <c r="J180" s="76"/>
      <c r="K180" s="76"/>
      <c r="L180" s="76"/>
      <c r="M180" s="77"/>
      <c r="N180" s="77"/>
      <c r="O180" s="77"/>
      <c r="P180" s="77"/>
      <c r="Q180" s="77"/>
      <c r="R180" s="77"/>
      <c r="S180" s="78"/>
      <c r="T180" s="78"/>
      <c r="U180" s="78"/>
      <c r="V180" s="78"/>
      <c r="W180" s="25">
        <v>75</v>
      </c>
      <c r="X180" s="25">
        <v>82</v>
      </c>
      <c r="Y180" s="32">
        <v>95</v>
      </c>
      <c r="Z180" s="32">
        <v>91</v>
      </c>
      <c r="AA180" s="32">
        <v>76</v>
      </c>
      <c r="AB180" s="21">
        <f t="shared" si="74"/>
        <v>1.3333333333333334E-2</v>
      </c>
      <c r="AC180" s="33">
        <f t="shared" si="75"/>
        <v>5.7185854025583148E-2</v>
      </c>
      <c r="AD180" s="109"/>
      <c r="AE180" s="109"/>
      <c r="AF180" s="110">
        <f t="shared" si="76"/>
        <v>2.1297584630451315E-9</v>
      </c>
      <c r="AG180" s="109"/>
      <c r="AH180" s="82">
        <v>1</v>
      </c>
    </row>
    <row r="181" spans="1:34" s="11" customFormat="1" x14ac:dyDescent="0.15">
      <c r="A181" s="67"/>
      <c r="B181" s="67" t="s">
        <v>0</v>
      </c>
      <c r="C181" s="67" t="s">
        <v>0</v>
      </c>
      <c r="D181" s="67" t="s">
        <v>0</v>
      </c>
      <c r="E181" s="67" t="s">
        <v>86</v>
      </c>
      <c r="F181" s="67" t="s">
        <v>15</v>
      </c>
      <c r="G181" s="68">
        <v>160468.79999999999</v>
      </c>
      <c r="H181" s="69">
        <v>-112695.62</v>
      </c>
      <c r="I181" s="69">
        <v>47773.18</v>
      </c>
      <c r="J181" s="69"/>
      <c r="K181" s="69"/>
      <c r="L181" s="69"/>
      <c r="M181" s="70"/>
      <c r="N181" s="70"/>
      <c r="O181" s="70"/>
      <c r="P181" s="70"/>
      <c r="Q181" s="70"/>
      <c r="R181" s="70"/>
      <c r="S181" s="104"/>
      <c r="T181" s="104"/>
      <c r="U181" s="104"/>
      <c r="V181" s="104"/>
      <c r="W181" s="71">
        <f>+W182</f>
        <v>13</v>
      </c>
      <c r="X181" s="71">
        <f t="shared" ref="X181:AA181" si="77">+X182</f>
        <v>17</v>
      </c>
      <c r="Y181" s="71">
        <f t="shared" si="77"/>
        <v>20</v>
      </c>
      <c r="Z181" s="71">
        <f t="shared" si="77"/>
        <v>23</v>
      </c>
      <c r="AA181" s="71">
        <f t="shared" si="77"/>
        <v>21</v>
      </c>
      <c r="AB181" s="72">
        <f>+(AA181-W181)/W181</f>
        <v>0.61538461538461542</v>
      </c>
      <c r="AD181" s="107"/>
      <c r="AE181" s="107"/>
      <c r="AF181" s="108"/>
      <c r="AG181" s="107"/>
      <c r="AH181" s="81">
        <v>1</v>
      </c>
    </row>
    <row r="182" spans="1:34" x14ac:dyDescent="0.15">
      <c r="A182" s="73" t="s">
        <v>62</v>
      </c>
      <c r="B182" s="73" t="s">
        <v>63</v>
      </c>
      <c r="C182" s="73" t="s">
        <v>84</v>
      </c>
      <c r="D182" s="73" t="s">
        <v>85</v>
      </c>
      <c r="E182" s="73" t="s">
        <v>86</v>
      </c>
      <c r="F182" s="73" t="s">
        <v>15</v>
      </c>
      <c r="G182" s="74">
        <v>160468.79999999999</v>
      </c>
      <c r="H182" s="75">
        <v>-112695.62</v>
      </c>
      <c r="I182" s="75">
        <v>47773.18</v>
      </c>
      <c r="J182" s="76"/>
      <c r="K182" s="76"/>
      <c r="L182" s="76"/>
      <c r="M182" s="77"/>
      <c r="N182" s="77"/>
      <c r="O182" s="77"/>
      <c r="P182" s="77"/>
      <c r="Q182" s="77"/>
      <c r="R182" s="77"/>
      <c r="S182" s="78"/>
      <c r="T182" s="78"/>
      <c r="U182" s="78"/>
      <c r="V182" s="78"/>
      <c r="W182" s="32">
        <v>13</v>
      </c>
      <c r="X182" s="32">
        <v>17</v>
      </c>
      <c r="Y182" s="32">
        <v>20</v>
      </c>
      <c r="Z182" s="32">
        <v>23</v>
      </c>
      <c r="AA182" s="32">
        <v>21</v>
      </c>
      <c r="AB182" s="10"/>
      <c r="AD182" s="109"/>
      <c r="AE182" s="109"/>
      <c r="AF182" s="110">
        <f>+AB182/AB181</f>
        <v>0</v>
      </c>
      <c r="AG182" s="109"/>
      <c r="AH182" s="82">
        <v>1</v>
      </c>
    </row>
    <row r="183" spans="1:34" s="11" customFormat="1" x14ac:dyDescent="0.15">
      <c r="A183" s="67"/>
      <c r="B183" s="67" t="s">
        <v>0</v>
      </c>
      <c r="C183" s="67" t="s">
        <v>0</v>
      </c>
      <c r="D183" s="67" t="s">
        <v>0</v>
      </c>
      <c r="E183" s="67" t="s">
        <v>24</v>
      </c>
      <c r="F183" s="67" t="s">
        <v>4</v>
      </c>
      <c r="G183" s="68">
        <v>846373.62</v>
      </c>
      <c r="H183" s="69">
        <v>-150297.43</v>
      </c>
      <c r="I183" s="69">
        <v>696076.19</v>
      </c>
      <c r="J183" s="69">
        <v>693053.43999999994</v>
      </c>
      <c r="K183" s="69">
        <v>-117127.93375816999</v>
      </c>
      <c r="L183" s="69">
        <f>+J183+K183</f>
        <v>575925.50624182995</v>
      </c>
      <c r="M183" s="70">
        <v>-908301.08</v>
      </c>
      <c r="N183" s="70"/>
      <c r="O183" s="70">
        <v>-19057.349999999999</v>
      </c>
      <c r="P183" s="70"/>
      <c r="Q183" s="70"/>
      <c r="R183" s="70">
        <f>+Q183+M183</f>
        <v>-908301.08</v>
      </c>
      <c r="S183" s="104">
        <f>+I183+R183</f>
        <v>-212224.89</v>
      </c>
      <c r="T183" s="104">
        <f>+L183+R183</f>
        <v>-332375.57375817001</v>
      </c>
      <c r="U183" s="104">
        <f>+I183+M183</f>
        <v>-212224.89</v>
      </c>
      <c r="V183" s="104">
        <f>+L183+M183</f>
        <v>-332375.57375817001</v>
      </c>
      <c r="W183" s="71">
        <f>SUM(W184:W185)</f>
        <v>84</v>
      </c>
      <c r="X183" s="71">
        <f t="shared" ref="X183:AA183" si="78">SUM(X184:X185)</f>
        <v>95</v>
      </c>
      <c r="Y183" s="71">
        <f t="shared" si="78"/>
        <v>89</v>
      </c>
      <c r="Z183" s="71">
        <f t="shared" si="78"/>
        <v>84</v>
      </c>
      <c r="AA183" s="71">
        <f t="shared" si="78"/>
        <v>81</v>
      </c>
      <c r="AB183" s="72">
        <f>+(AA183-W183)/W183</f>
        <v>-3.5714285714285712E-2</v>
      </c>
      <c r="AD183" s="107"/>
      <c r="AE183" s="107"/>
      <c r="AF183" s="108"/>
      <c r="AG183" s="107"/>
      <c r="AH183" s="66">
        <v>1</v>
      </c>
    </row>
    <row r="184" spans="1:34" x14ac:dyDescent="0.15">
      <c r="A184" s="73" t="s">
        <v>62</v>
      </c>
      <c r="B184" s="73" t="s">
        <v>195</v>
      </c>
      <c r="C184" s="73" t="s">
        <v>229</v>
      </c>
      <c r="D184" s="73" t="s">
        <v>230</v>
      </c>
      <c r="E184" s="73" t="s">
        <v>24</v>
      </c>
      <c r="F184" s="73" t="s">
        <v>4</v>
      </c>
      <c r="G184" s="74">
        <v>127078.23</v>
      </c>
      <c r="H184" s="75">
        <v>-49639.33</v>
      </c>
      <c r="I184" s="75">
        <v>77438.899999999994</v>
      </c>
      <c r="J184" s="76"/>
      <c r="K184" s="76"/>
      <c r="L184" s="76"/>
      <c r="M184" s="77"/>
      <c r="N184" s="77"/>
      <c r="O184" s="77"/>
      <c r="P184" s="77"/>
      <c r="Q184" s="77"/>
      <c r="R184" s="77"/>
      <c r="S184" s="78"/>
      <c r="T184" s="78"/>
      <c r="U184" s="78"/>
      <c r="V184" s="78"/>
      <c r="W184" s="25">
        <v>15</v>
      </c>
      <c r="X184" s="25">
        <v>17</v>
      </c>
      <c r="Y184" s="25">
        <v>15</v>
      </c>
      <c r="Z184" s="32">
        <v>17</v>
      </c>
      <c r="AA184" s="32">
        <v>18</v>
      </c>
      <c r="AB184" s="21">
        <f t="shared" ref="AB184:AB185" si="79">+(AA184-W184)/W184</f>
        <v>0.2</v>
      </c>
      <c r="AC184" s="33">
        <f>+AA184/AA183</f>
        <v>0.22222222222222221</v>
      </c>
      <c r="AD184" s="109"/>
      <c r="AE184" s="109"/>
      <c r="AF184" s="110">
        <f>+AB184/AB183</f>
        <v>-5.6000000000000005</v>
      </c>
      <c r="AG184" s="109"/>
      <c r="AH184" s="82">
        <v>1</v>
      </c>
    </row>
    <row r="185" spans="1:34" x14ac:dyDescent="0.15">
      <c r="A185" s="73" t="s">
        <v>321</v>
      </c>
      <c r="B185" s="73" t="s">
        <v>322</v>
      </c>
      <c r="C185" s="73" t="s">
        <v>351</v>
      </c>
      <c r="D185" s="73" t="s">
        <v>352</v>
      </c>
      <c r="E185" s="73" t="s">
        <v>24</v>
      </c>
      <c r="F185" s="73" t="s">
        <v>4</v>
      </c>
      <c r="G185" s="74">
        <v>719295.39</v>
      </c>
      <c r="H185" s="75">
        <v>-100658.1</v>
      </c>
      <c r="I185" s="75">
        <v>618637.29</v>
      </c>
      <c r="J185" s="76"/>
      <c r="K185" s="76"/>
      <c r="L185" s="76"/>
      <c r="M185" s="77"/>
      <c r="N185" s="77"/>
      <c r="O185" s="77"/>
      <c r="P185" s="77"/>
      <c r="Q185" s="77"/>
      <c r="R185" s="77"/>
      <c r="S185" s="78"/>
      <c r="T185" s="78"/>
      <c r="U185" s="78"/>
      <c r="V185" s="78"/>
      <c r="W185" s="25">
        <v>69</v>
      </c>
      <c r="X185" s="25">
        <v>78</v>
      </c>
      <c r="Y185" s="32">
        <v>74</v>
      </c>
      <c r="Z185" s="32">
        <v>67</v>
      </c>
      <c r="AA185" s="32">
        <v>63</v>
      </c>
      <c r="AB185" s="21">
        <f t="shared" si="79"/>
        <v>-8.6956521739130432E-2</v>
      </c>
      <c r="AC185" s="33">
        <f>+AA185/AA183</f>
        <v>0.77777777777777779</v>
      </c>
      <c r="AD185" s="109"/>
      <c r="AE185" s="109"/>
      <c r="AF185" s="110">
        <f>+AB185/AB183</f>
        <v>2.4347826086956523</v>
      </c>
      <c r="AG185" s="109"/>
      <c r="AH185" s="82">
        <v>1</v>
      </c>
    </row>
    <row r="186" spans="1:34" s="11" customFormat="1" x14ac:dyDescent="0.15">
      <c r="A186" s="67"/>
      <c r="B186" s="67" t="s">
        <v>0</v>
      </c>
      <c r="C186" s="67" t="s">
        <v>0</v>
      </c>
      <c r="D186" s="67" t="s">
        <v>0</v>
      </c>
      <c r="E186" s="67" t="s">
        <v>484</v>
      </c>
      <c r="F186" s="67" t="s">
        <v>4</v>
      </c>
      <c r="G186" s="68">
        <f>SUM(G187:G192)</f>
        <v>23482707.759999998</v>
      </c>
      <c r="H186" s="69">
        <f t="shared" ref="H186:I186" si="80">SUM(H187:H192)</f>
        <v>-2327708.6</v>
      </c>
      <c r="I186" s="68">
        <f t="shared" si="80"/>
        <v>21154999.16</v>
      </c>
      <c r="J186" s="69">
        <v>20641014.490000002</v>
      </c>
      <c r="K186" s="69">
        <v>-2011853.47997497</v>
      </c>
      <c r="L186" s="69">
        <f>+J186+K186</f>
        <v>18629161.010025032</v>
      </c>
      <c r="M186" s="70">
        <f>-9095211.6+4734.8+908301.08</f>
        <v>-8182175.7199999988</v>
      </c>
      <c r="N186" s="70">
        <v>-9075.7999999999993</v>
      </c>
      <c r="O186" s="70">
        <f>-13626.85-9658.94-92554.09-18686.96-14502.93-186436.05</f>
        <v>-335465.81999999995</v>
      </c>
      <c r="P186" s="70">
        <v>-245808.91</v>
      </c>
      <c r="Q186" s="70">
        <f>-256542.97</f>
        <v>-256542.97</v>
      </c>
      <c r="R186" s="70">
        <f>+Q186+M186</f>
        <v>-8438718.6899999995</v>
      </c>
      <c r="S186" s="104">
        <f>+I186+R186</f>
        <v>12716280.470000001</v>
      </c>
      <c r="T186" s="104">
        <f>+L186+R186</f>
        <v>10190442.320025032</v>
      </c>
      <c r="U186" s="104">
        <f>+I186+M186</f>
        <v>12972823.440000001</v>
      </c>
      <c r="V186" s="104">
        <f>+L186+M186</f>
        <v>10446985.290025033</v>
      </c>
      <c r="W186" s="71">
        <f>SUM(W187:W192)</f>
        <v>473</v>
      </c>
      <c r="X186" s="71">
        <f t="shared" ref="X186:AA186" si="81">SUM(X187:X192)</f>
        <v>475</v>
      </c>
      <c r="Y186" s="71">
        <f t="shared" si="81"/>
        <v>473</v>
      </c>
      <c r="Z186" s="71">
        <f t="shared" si="81"/>
        <v>467</v>
      </c>
      <c r="AA186" s="71">
        <f t="shared" si="81"/>
        <v>460</v>
      </c>
      <c r="AB186" s="72">
        <f>+(AA186-W186)/W186</f>
        <v>-2.748414376321353E-2</v>
      </c>
      <c r="AD186" s="107"/>
      <c r="AE186" s="107"/>
      <c r="AF186" s="108"/>
      <c r="AG186" s="107"/>
      <c r="AH186" s="81">
        <v>1</v>
      </c>
    </row>
    <row r="187" spans="1:34" x14ac:dyDescent="0.15">
      <c r="A187" s="73" t="s">
        <v>62</v>
      </c>
      <c r="B187" s="73" t="s">
        <v>148</v>
      </c>
      <c r="C187" s="73" t="s">
        <v>156</v>
      </c>
      <c r="D187" s="73" t="s">
        <v>157</v>
      </c>
      <c r="E187" s="73" t="s">
        <v>3</v>
      </c>
      <c r="F187" s="73" t="s">
        <v>4</v>
      </c>
      <c r="G187" s="74">
        <v>124873.92</v>
      </c>
      <c r="H187" s="75">
        <v>-85721.600000000006</v>
      </c>
      <c r="I187" s="75">
        <v>39152.32</v>
      </c>
      <c r="J187" s="76"/>
      <c r="K187" s="76"/>
      <c r="L187" s="76"/>
      <c r="M187" s="77"/>
      <c r="N187" s="77"/>
      <c r="O187" s="77"/>
      <c r="P187" s="77"/>
      <c r="Q187" s="77"/>
      <c r="R187" s="77"/>
      <c r="S187" s="78"/>
      <c r="T187" s="78"/>
      <c r="U187" s="78"/>
      <c r="V187" s="78"/>
      <c r="W187" s="32">
        <v>9</v>
      </c>
      <c r="X187" s="32">
        <v>5</v>
      </c>
      <c r="Y187" s="32">
        <v>6</v>
      </c>
      <c r="Z187" s="32">
        <v>5</v>
      </c>
      <c r="AA187" s="32">
        <v>4</v>
      </c>
      <c r="AB187" s="72">
        <f>+(AA187-W187)/W187</f>
        <v>-0.55555555555555558</v>
      </c>
      <c r="AC187" s="33">
        <f>+AA187/$AA$186</f>
        <v>8.6956521739130436E-3</v>
      </c>
      <c r="AD187" s="109"/>
      <c r="AE187" s="109"/>
      <c r="AG187" s="109"/>
      <c r="AH187" s="65">
        <v>1</v>
      </c>
    </row>
    <row r="188" spans="1:34" x14ac:dyDescent="0.15">
      <c r="A188" s="73" t="s">
        <v>62</v>
      </c>
      <c r="B188" s="73" t="s">
        <v>148</v>
      </c>
      <c r="C188" s="73" t="s">
        <v>158</v>
      </c>
      <c r="D188" s="73" t="s">
        <v>159</v>
      </c>
      <c r="E188" s="73" t="s">
        <v>28</v>
      </c>
      <c r="F188" s="73" t="s">
        <v>4</v>
      </c>
      <c r="G188" s="74">
        <v>124873.92</v>
      </c>
      <c r="H188" s="75">
        <v>-85721.600000000006</v>
      </c>
      <c r="I188" s="75">
        <v>39152.32</v>
      </c>
      <c r="J188" s="76"/>
      <c r="K188" s="76"/>
      <c r="L188" s="76"/>
      <c r="M188" s="77"/>
      <c r="N188" s="77"/>
      <c r="O188" s="77"/>
      <c r="P188" s="77"/>
      <c r="Q188" s="77"/>
      <c r="R188" s="77"/>
      <c r="S188" s="78"/>
      <c r="T188" s="78"/>
      <c r="U188" s="78"/>
      <c r="V188" s="78"/>
      <c r="W188" s="32">
        <v>5</v>
      </c>
      <c r="X188" s="32">
        <v>4</v>
      </c>
      <c r="Y188" s="32">
        <v>5</v>
      </c>
      <c r="Z188" s="32">
        <v>5</v>
      </c>
      <c r="AA188" s="32">
        <v>4</v>
      </c>
      <c r="AB188" s="100">
        <f t="shared" ref="AB188:AB192" si="82">+(AA188-W188)/W188</f>
        <v>-0.2</v>
      </c>
      <c r="AC188" s="33">
        <f t="shared" ref="AC188:AC192" si="83">+AA188/$AA$186</f>
        <v>8.6956521739130436E-3</v>
      </c>
      <c r="AD188" s="109"/>
      <c r="AE188" s="109"/>
      <c r="AG188" s="109"/>
      <c r="AH188" s="65">
        <v>1</v>
      </c>
    </row>
    <row r="189" spans="1:34" x14ac:dyDescent="0.15">
      <c r="A189" s="73" t="s">
        <v>62</v>
      </c>
      <c r="B189" s="73" t="s">
        <v>63</v>
      </c>
      <c r="C189" s="73" t="s">
        <v>99</v>
      </c>
      <c r="D189" s="73" t="s">
        <v>100</v>
      </c>
      <c r="E189" s="73" t="s">
        <v>43</v>
      </c>
      <c r="F189" s="73" t="s">
        <v>4</v>
      </c>
      <c r="G189" s="74">
        <v>12715.6</v>
      </c>
      <c r="H189" s="75">
        <v>-7546.8</v>
      </c>
      <c r="I189" s="75">
        <v>5168.8</v>
      </c>
      <c r="J189" s="76"/>
      <c r="K189" s="76"/>
      <c r="L189" s="76"/>
      <c r="M189" s="77"/>
      <c r="N189" s="77"/>
      <c r="O189" s="77"/>
      <c r="P189" s="77"/>
      <c r="Q189" s="77"/>
      <c r="R189" s="77"/>
      <c r="S189" s="78"/>
      <c r="T189" s="78"/>
      <c r="U189" s="78"/>
      <c r="V189" s="78"/>
      <c r="W189" s="32">
        <v>2</v>
      </c>
      <c r="X189" s="32">
        <v>2</v>
      </c>
      <c r="Y189" s="32">
        <v>3</v>
      </c>
      <c r="Z189" s="32">
        <v>3</v>
      </c>
      <c r="AA189" s="32">
        <v>2</v>
      </c>
      <c r="AB189" s="100">
        <f t="shared" si="82"/>
        <v>0</v>
      </c>
      <c r="AC189" s="33">
        <f t="shared" si="83"/>
        <v>4.3478260869565218E-3</v>
      </c>
      <c r="AD189" s="109"/>
      <c r="AE189" s="109"/>
      <c r="AF189" s="110" t="e">
        <f t="shared" ref="AF189:AF192" si="84">+AB189/$T$185</f>
        <v>#DIV/0!</v>
      </c>
      <c r="AG189" s="109"/>
      <c r="AH189" s="65">
        <v>1</v>
      </c>
    </row>
    <row r="190" spans="1:34" x14ac:dyDescent="0.15">
      <c r="A190" s="73" t="s">
        <v>62</v>
      </c>
      <c r="B190" s="73" t="s">
        <v>195</v>
      </c>
      <c r="C190" s="73" t="s">
        <v>277</v>
      </c>
      <c r="D190" s="73" t="s">
        <v>278</v>
      </c>
      <c r="E190" s="73" t="s">
        <v>43</v>
      </c>
      <c r="F190" s="73" t="s">
        <v>4</v>
      </c>
      <c r="G190" s="74">
        <v>245211.48</v>
      </c>
      <c r="H190" s="75">
        <v>-186012.79999999999</v>
      </c>
      <c r="I190" s="75">
        <v>59198.68</v>
      </c>
      <c r="J190" s="76"/>
      <c r="K190" s="76"/>
      <c r="L190" s="76"/>
      <c r="M190" s="77"/>
      <c r="N190" s="77"/>
      <c r="O190" s="77"/>
      <c r="P190" s="77"/>
      <c r="Q190" s="77"/>
      <c r="R190" s="77"/>
      <c r="S190" s="78"/>
      <c r="T190" s="78"/>
      <c r="U190" s="78"/>
      <c r="V190" s="78"/>
      <c r="W190" s="25">
        <v>14</v>
      </c>
      <c r="X190" s="25">
        <v>13</v>
      </c>
      <c r="Y190" s="25">
        <v>13</v>
      </c>
      <c r="Z190" s="32">
        <v>11</v>
      </c>
      <c r="AA190" s="32">
        <v>10</v>
      </c>
      <c r="AB190" s="100">
        <f t="shared" si="82"/>
        <v>-0.2857142857142857</v>
      </c>
      <c r="AC190" s="33">
        <f t="shared" si="83"/>
        <v>2.1739130434782608E-2</v>
      </c>
      <c r="AD190" s="109"/>
      <c r="AE190" s="109"/>
      <c r="AG190" s="109"/>
      <c r="AH190" s="65">
        <v>1</v>
      </c>
    </row>
    <row r="191" spans="1:34" x14ac:dyDescent="0.15">
      <c r="A191" s="73" t="s">
        <v>62</v>
      </c>
      <c r="B191" s="73" t="s">
        <v>148</v>
      </c>
      <c r="C191" s="73" t="s">
        <v>160</v>
      </c>
      <c r="D191" s="73" t="s">
        <v>161</v>
      </c>
      <c r="E191" s="73" t="s">
        <v>45</v>
      </c>
      <c r="F191" s="73" t="s">
        <v>4</v>
      </c>
      <c r="G191" s="74">
        <v>93655.44</v>
      </c>
      <c r="H191" s="75">
        <v>-64291.199999999997</v>
      </c>
      <c r="I191" s="75">
        <v>29364.240000000002</v>
      </c>
      <c r="J191" s="76"/>
      <c r="K191" s="76"/>
      <c r="L191" s="76"/>
      <c r="M191" s="77"/>
      <c r="N191" s="77"/>
      <c r="O191" s="77"/>
      <c r="P191" s="77"/>
      <c r="Q191" s="77"/>
      <c r="R191" s="77"/>
      <c r="S191" s="78"/>
      <c r="T191" s="78"/>
      <c r="U191" s="78"/>
      <c r="V191" s="78"/>
      <c r="W191" s="32">
        <v>6</v>
      </c>
      <c r="X191" s="32">
        <v>6</v>
      </c>
      <c r="Y191" s="32">
        <v>7</v>
      </c>
      <c r="Z191" s="32">
        <v>6</v>
      </c>
      <c r="AA191" s="32">
        <v>4</v>
      </c>
      <c r="AB191" s="100">
        <f t="shared" si="82"/>
        <v>-0.33333333333333331</v>
      </c>
      <c r="AC191" s="33">
        <f t="shared" si="83"/>
        <v>8.6956521739130436E-3</v>
      </c>
      <c r="AD191" s="109"/>
      <c r="AE191" s="109"/>
      <c r="AG191" s="109"/>
      <c r="AH191" s="65">
        <v>1</v>
      </c>
    </row>
    <row r="192" spans="1:34" x14ac:dyDescent="0.15">
      <c r="A192" s="73" t="s">
        <v>58</v>
      </c>
      <c r="B192" s="73" t="s">
        <v>59</v>
      </c>
      <c r="C192" s="73" t="s">
        <v>60</v>
      </c>
      <c r="D192" s="73" t="s">
        <v>61</v>
      </c>
      <c r="E192" s="73" t="s">
        <v>52</v>
      </c>
      <c r="F192" s="73" t="s">
        <v>4</v>
      </c>
      <c r="G192" s="74">
        <v>22881377.399999999</v>
      </c>
      <c r="H192" s="75">
        <v>-1898414.6</v>
      </c>
      <c r="I192" s="75">
        <v>20982962.800000001</v>
      </c>
      <c r="J192" s="76"/>
      <c r="K192" s="76"/>
      <c r="L192" s="76"/>
      <c r="M192" s="77"/>
      <c r="N192" s="77"/>
      <c r="O192" s="77"/>
      <c r="P192" s="77"/>
      <c r="Q192" s="77"/>
      <c r="R192" s="77"/>
      <c r="S192" s="78"/>
      <c r="T192" s="78"/>
      <c r="U192" s="78"/>
      <c r="V192" s="78"/>
      <c r="W192" s="32">
        <v>437</v>
      </c>
      <c r="X192" s="32">
        <v>445</v>
      </c>
      <c r="Y192" s="32">
        <v>439</v>
      </c>
      <c r="Z192" s="32">
        <v>437</v>
      </c>
      <c r="AA192" s="32">
        <v>436</v>
      </c>
      <c r="AB192" s="100">
        <f t="shared" si="82"/>
        <v>-2.2883295194508009E-3</v>
      </c>
      <c r="AC192" s="33">
        <f t="shared" si="83"/>
        <v>0.94782608695652171</v>
      </c>
      <c r="AD192" s="109"/>
      <c r="AE192" s="109"/>
      <c r="AF192" s="110" t="e">
        <f t="shared" si="84"/>
        <v>#DIV/0!</v>
      </c>
      <c r="AG192" s="109"/>
      <c r="AH192" s="65">
        <v>1</v>
      </c>
    </row>
    <row r="193" spans="1:34" s="11" customFormat="1" x14ac:dyDescent="0.15">
      <c r="A193" s="67"/>
      <c r="B193" s="67" t="s">
        <v>0</v>
      </c>
      <c r="C193" s="67" t="s">
        <v>0</v>
      </c>
      <c r="D193" s="67" t="s">
        <v>0</v>
      </c>
      <c r="E193" s="67" t="s">
        <v>19</v>
      </c>
      <c r="F193" s="67" t="s">
        <v>20</v>
      </c>
      <c r="G193" s="68">
        <v>1117563.73</v>
      </c>
      <c r="H193" s="69">
        <v>-177907.88</v>
      </c>
      <c r="I193" s="69">
        <v>939655.85</v>
      </c>
      <c r="J193" s="69">
        <v>1500543</v>
      </c>
      <c r="K193" s="69">
        <v>-339782</v>
      </c>
      <c r="L193" s="69">
        <f>+J193+K193</f>
        <v>1160761</v>
      </c>
      <c r="M193" s="70">
        <f>-895537.53-75928.24</f>
        <v>-971465.77</v>
      </c>
      <c r="N193" s="70"/>
      <c r="O193" s="70">
        <v>-28749.22</v>
      </c>
      <c r="P193" s="70"/>
      <c r="Q193" s="70"/>
      <c r="R193" s="70">
        <f>+Q193+M193</f>
        <v>-971465.77</v>
      </c>
      <c r="S193" s="104">
        <f>+I193+R193</f>
        <v>-31809.920000000042</v>
      </c>
      <c r="T193" s="104">
        <f>+L193+R193</f>
        <v>189295.22999999998</v>
      </c>
      <c r="U193" s="104">
        <f>+I193+M193</f>
        <v>-31809.920000000042</v>
      </c>
      <c r="V193" s="104">
        <f>+L193+M193</f>
        <v>189295.22999999998</v>
      </c>
      <c r="W193" s="71">
        <f>SUM(W194:W197)</f>
        <v>172</v>
      </c>
      <c r="X193" s="71">
        <f t="shared" ref="X193:AA193" si="85">SUM(X194:X197)</f>
        <v>168</v>
      </c>
      <c r="Y193" s="71">
        <f t="shared" si="85"/>
        <v>186</v>
      </c>
      <c r="Z193" s="71">
        <f t="shared" si="85"/>
        <v>202</v>
      </c>
      <c r="AA193" s="71">
        <f t="shared" si="85"/>
        <v>184</v>
      </c>
      <c r="AB193" s="72">
        <f>+(AA193-W193)/W193</f>
        <v>6.9767441860465115E-2</v>
      </c>
      <c r="AD193" s="107"/>
      <c r="AE193" s="107"/>
      <c r="AF193" s="108"/>
      <c r="AG193" s="107"/>
      <c r="AH193" s="66">
        <v>1</v>
      </c>
    </row>
    <row r="194" spans="1:34" x14ac:dyDescent="0.15">
      <c r="A194" s="73" t="s">
        <v>62</v>
      </c>
      <c r="B194" s="73" t="s">
        <v>195</v>
      </c>
      <c r="C194" s="73" t="s">
        <v>219</v>
      </c>
      <c r="D194" s="73" t="s">
        <v>220</v>
      </c>
      <c r="E194" s="73" t="s">
        <v>19</v>
      </c>
      <c r="F194" s="73" t="s">
        <v>20</v>
      </c>
      <c r="G194" s="74">
        <v>56466</v>
      </c>
      <c r="H194" s="75"/>
      <c r="I194" s="75">
        <v>56466</v>
      </c>
      <c r="J194" s="76"/>
      <c r="K194" s="76"/>
      <c r="L194" s="76"/>
      <c r="M194" s="77"/>
      <c r="N194" s="77"/>
      <c r="O194" s="77"/>
      <c r="P194" s="77"/>
      <c r="Q194" s="77"/>
      <c r="R194" s="77"/>
      <c r="S194" s="78"/>
      <c r="T194" s="78"/>
      <c r="U194" s="78"/>
      <c r="V194" s="78"/>
      <c r="W194" s="25">
        <v>122</v>
      </c>
      <c r="X194" s="25">
        <v>120</v>
      </c>
      <c r="Y194" s="25">
        <v>92</v>
      </c>
      <c r="Z194" s="32">
        <v>55</v>
      </c>
      <c r="AA194" s="32">
        <v>11</v>
      </c>
      <c r="AB194" s="21">
        <f t="shared" ref="AB194:AB195" si="86">+(AA194-W194)/W194</f>
        <v>-0.9098360655737705</v>
      </c>
      <c r="AC194" s="33">
        <f>+AA194/AA193</f>
        <v>5.9782608695652176E-2</v>
      </c>
      <c r="AD194" s="109"/>
      <c r="AE194" s="109"/>
      <c r="AF194" s="110">
        <f>+AB194/AB193</f>
        <v>-13.040983606557377</v>
      </c>
      <c r="AG194" s="109"/>
      <c r="AH194" s="65">
        <v>3</v>
      </c>
    </row>
    <row r="195" spans="1:34" x14ac:dyDescent="0.15">
      <c r="A195" s="73" t="s">
        <v>62</v>
      </c>
      <c r="B195" s="73" t="s">
        <v>117</v>
      </c>
      <c r="C195" s="73" t="s">
        <v>121</v>
      </c>
      <c r="D195" s="73" t="s">
        <v>122</v>
      </c>
      <c r="E195" s="73" t="s">
        <v>19</v>
      </c>
      <c r="F195" s="73" t="s">
        <v>20</v>
      </c>
      <c r="G195" s="74">
        <v>185275.83</v>
      </c>
      <c r="H195" s="75">
        <v>-161780.78</v>
      </c>
      <c r="I195" s="75">
        <v>23495.05</v>
      </c>
      <c r="J195" s="76"/>
      <c r="K195" s="76"/>
      <c r="L195" s="76"/>
      <c r="M195" s="77"/>
      <c r="N195" s="77"/>
      <c r="O195" s="77"/>
      <c r="P195" s="77"/>
      <c r="Q195" s="77"/>
      <c r="R195" s="77"/>
      <c r="S195" s="78"/>
      <c r="T195" s="78"/>
      <c r="U195" s="78"/>
      <c r="V195" s="78"/>
      <c r="W195" s="25">
        <v>43</v>
      </c>
      <c r="X195" s="25">
        <v>43</v>
      </c>
      <c r="Y195" s="25">
        <v>43</v>
      </c>
      <c r="Z195" s="32">
        <v>39</v>
      </c>
      <c r="AA195" s="32">
        <v>32</v>
      </c>
      <c r="AB195" s="21">
        <f t="shared" si="86"/>
        <v>-0.2558139534883721</v>
      </c>
      <c r="AC195" s="33">
        <f>+AA195/AA193</f>
        <v>0.17391304347826086</v>
      </c>
      <c r="AD195" s="109"/>
      <c r="AE195" s="109"/>
      <c r="AG195" s="109"/>
      <c r="AH195" s="65">
        <v>1</v>
      </c>
    </row>
    <row r="196" spans="1:34" x14ac:dyDescent="0.15">
      <c r="A196" s="73" t="s">
        <v>62</v>
      </c>
      <c r="B196" s="73" t="s">
        <v>195</v>
      </c>
      <c r="C196" s="73" t="s">
        <v>221</v>
      </c>
      <c r="D196" s="73" t="s">
        <v>222</v>
      </c>
      <c r="E196" s="73" t="s">
        <v>19</v>
      </c>
      <c r="F196" s="73" t="s">
        <v>20</v>
      </c>
      <c r="G196" s="74">
        <v>873330.7</v>
      </c>
      <c r="H196" s="75">
        <v>-16127.1</v>
      </c>
      <c r="I196" s="75">
        <v>857203.6</v>
      </c>
      <c r="J196" s="76"/>
      <c r="K196" s="76"/>
      <c r="L196" s="76"/>
      <c r="M196" s="77"/>
      <c r="N196" s="77"/>
      <c r="O196" s="77"/>
      <c r="P196" s="77"/>
      <c r="Q196" s="77"/>
      <c r="R196" s="77"/>
      <c r="S196" s="78"/>
      <c r="T196" s="78"/>
      <c r="U196" s="78"/>
      <c r="V196" s="78"/>
      <c r="W196" s="32"/>
      <c r="X196" s="32"/>
      <c r="Y196" s="32">
        <v>46</v>
      </c>
      <c r="Z196" s="32">
        <v>105</v>
      </c>
      <c r="AA196" s="32">
        <v>138</v>
      </c>
      <c r="AB196" s="21">
        <f t="shared" ref="AB196:AB197" si="87">+(AA196-Y196)/Y196</f>
        <v>2</v>
      </c>
      <c r="AC196" s="33">
        <f>+AA196/AA193</f>
        <v>0.75</v>
      </c>
      <c r="AD196" s="109"/>
      <c r="AE196" s="109"/>
      <c r="AG196" s="109"/>
      <c r="AH196" s="65">
        <v>1</v>
      </c>
    </row>
    <row r="197" spans="1:34" x14ac:dyDescent="0.15">
      <c r="A197" s="73" t="s">
        <v>62</v>
      </c>
      <c r="B197" s="73" t="s">
        <v>139</v>
      </c>
      <c r="C197" s="73" t="s">
        <v>140</v>
      </c>
      <c r="D197" s="73" t="s">
        <v>141</v>
      </c>
      <c r="E197" s="73" t="s">
        <v>19</v>
      </c>
      <c r="F197" s="73" t="s">
        <v>20</v>
      </c>
      <c r="G197" s="74">
        <v>2491.1999999999998</v>
      </c>
      <c r="H197" s="75"/>
      <c r="I197" s="75">
        <v>2491.1999999999998</v>
      </c>
      <c r="J197" s="76"/>
      <c r="K197" s="76"/>
      <c r="L197" s="76"/>
      <c r="M197" s="77"/>
      <c r="N197" s="77"/>
      <c r="O197" s="77"/>
      <c r="P197" s="77"/>
      <c r="Q197" s="77"/>
      <c r="R197" s="77"/>
      <c r="S197" s="78"/>
      <c r="T197" s="78"/>
      <c r="U197" s="78"/>
      <c r="V197" s="78"/>
      <c r="W197" s="25">
        <v>7</v>
      </c>
      <c r="X197" s="25">
        <v>5</v>
      </c>
      <c r="Y197" s="25">
        <f>3+2</f>
        <v>5</v>
      </c>
      <c r="Z197" s="32">
        <v>3</v>
      </c>
      <c r="AA197" s="32">
        <v>3</v>
      </c>
      <c r="AB197" s="21">
        <f t="shared" si="87"/>
        <v>-0.4</v>
      </c>
      <c r="AC197" s="33">
        <f>+AA197/AA193</f>
        <v>1.6304347826086956E-2</v>
      </c>
      <c r="AD197" s="109"/>
      <c r="AE197" s="109"/>
      <c r="AF197" s="110">
        <f>+AB197/AB193</f>
        <v>-5.7333333333333334</v>
      </c>
      <c r="AG197" s="109"/>
      <c r="AH197" s="65">
        <v>3</v>
      </c>
    </row>
    <row r="198" spans="1:34" s="11" customFormat="1" x14ac:dyDescent="0.15">
      <c r="A198" s="67"/>
      <c r="B198" s="67" t="s">
        <v>0</v>
      </c>
      <c r="C198" s="67" t="s">
        <v>0</v>
      </c>
      <c r="D198" s="67" t="s">
        <v>0</v>
      </c>
      <c r="E198" s="67" t="s">
        <v>27</v>
      </c>
      <c r="F198" s="67" t="s">
        <v>20</v>
      </c>
      <c r="G198" s="68">
        <v>670652.32999999996</v>
      </c>
      <c r="H198" s="69">
        <v>-302839.71000000002</v>
      </c>
      <c r="I198" s="69">
        <v>367812.62</v>
      </c>
      <c r="J198" s="69">
        <v>838385</v>
      </c>
      <c r="K198" s="69">
        <v>-198810.60392857101</v>
      </c>
      <c r="L198" s="69">
        <f>+J198+K198</f>
        <v>639574.39607142902</v>
      </c>
      <c r="M198" s="70">
        <f>-898549.92-2971.15</f>
        <v>-901521.07000000007</v>
      </c>
      <c r="N198" s="70"/>
      <c r="O198" s="70">
        <v>-13132.96</v>
      </c>
      <c r="P198" s="70"/>
      <c r="Q198" s="70">
        <v>-79030.070000000007</v>
      </c>
      <c r="R198" s="70">
        <f>+Q198+M198</f>
        <v>-980551.14000000013</v>
      </c>
      <c r="S198" s="104">
        <f>+I198+R198</f>
        <v>-612738.52000000014</v>
      </c>
      <c r="T198" s="104">
        <f>+L198+R198</f>
        <v>-340976.74392857112</v>
      </c>
      <c r="U198" s="104">
        <f>+I198+M198</f>
        <v>-533708.45000000007</v>
      </c>
      <c r="V198" s="104">
        <f>+L198+M198</f>
        <v>-261946.67392857105</v>
      </c>
      <c r="W198" s="71">
        <f>SUM(W199:W202)</f>
        <v>239</v>
      </c>
      <c r="X198" s="71">
        <f t="shared" ref="X198:AA198" si="88">SUM(X199:X202)</f>
        <v>206</v>
      </c>
      <c r="Y198" s="71">
        <f t="shared" si="88"/>
        <v>219</v>
      </c>
      <c r="Z198" s="71">
        <f t="shared" si="88"/>
        <v>198</v>
      </c>
      <c r="AA198" s="71">
        <f t="shared" si="88"/>
        <v>169</v>
      </c>
      <c r="AB198" s="72">
        <f>+(AA198-W198)/W198</f>
        <v>-0.29288702928870292</v>
      </c>
      <c r="AD198" s="107"/>
      <c r="AE198" s="107"/>
      <c r="AF198" s="108"/>
      <c r="AG198" s="107"/>
      <c r="AH198" s="66">
        <v>1</v>
      </c>
    </row>
    <row r="199" spans="1:34" x14ac:dyDescent="0.15">
      <c r="A199" s="73" t="s">
        <v>62</v>
      </c>
      <c r="B199" s="73" t="s">
        <v>63</v>
      </c>
      <c r="C199" s="73" t="s">
        <v>80</v>
      </c>
      <c r="D199" s="73" t="s">
        <v>81</v>
      </c>
      <c r="E199" s="73" t="s">
        <v>27</v>
      </c>
      <c r="F199" s="73" t="s">
        <v>20</v>
      </c>
      <c r="G199" s="74">
        <v>38180.400000000001</v>
      </c>
      <c r="H199" s="75">
        <v>-8352.0499999999993</v>
      </c>
      <c r="I199" s="75">
        <v>29828.35</v>
      </c>
      <c r="J199" s="76"/>
      <c r="K199" s="76"/>
      <c r="L199" s="76"/>
      <c r="M199" s="77"/>
      <c r="N199" s="77"/>
      <c r="O199" s="77"/>
      <c r="P199" s="77"/>
      <c r="Q199" s="77"/>
      <c r="R199" s="77"/>
      <c r="S199" s="78"/>
      <c r="T199" s="78"/>
      <c r="U199" s="78"/>
      <c r="V199" s="78"/>
      <c r="W199" s="32">
        <v>37</v>
      </c>
      <c r="X199" s="32">
        <v>37</v>
      </c>
      <c r="Y199" s="32">
        <v>31</v>
      </c>
      <c r="Z199" s="32">
        <v>31</v>
      </c>
      <c r="AA199" s="32">
        <v>28</v>
      </c>
      <c r="AB199" s="21">
        <f t="shared" ref="AB199:AB202" si="89">+(AA199-W199)/W199</f>
        <v>-0.24324324324324326</v>
      </c>
      <c r="AC199" s="33">
        <f>+AA199/AA198</f>
        <v>0.16568047337278108</v>
      </c>
      <c r="AD199" s="109"/>
      <c r="AE199" s="109"/>
      <c r="AG199" s="109"/>
      <c r="AH199" s="65">
        <v>1</v>
      </c>
    </row>
    <row r="200" spans="1:34" x14ac:dyDescent="0.15">
      <c r="A200" s="73" t="s">
        <v>62</v>
      </c>
      <c r="B200" s="73" t="s">
        <v>139</v>
      </c>
      <c r="C200" s="73" t="s">
        <v>144</v>
      </c>
      <c r="D200" s="73" t="s">
        <v>145</v>
      </c>
      <c r="E200" s="73" t="s">
        <v>27</v>
      </c>
      <c r="F200" s="73" t="s">
        <v>20</v>
      </c>
      <c r="G200" s="74">
        <v>109813.8</v>
      </c>
      <c r="H200" s="75">
        <v>-6986.7</v>
      </c>
      <c r="I200" s="75">
        <v>102827.1</v>
      </c>
      <c r="J200" s="76"/>
      <c r="K200" s="76"/>
      <c r="L200" s="76"/>
      <c r="M200" s="77"/>
      <c r="N200" s="77"/>
      <c r="O200" s="77"/>
      <c r="P200" s="77"/>
      <c r="Q200" s="77"/>
      <c r="R200" s="77"/>
      <c r="S200" s="78"/>
      <c r="T200" s="78"/>
      <c r="U200" s="78"/>
      <c r="V200" s="78"/>
      <c r="W200" s="25">
        <v>49</v>
      </c>
      <c r="X200" s="25">
        <v>32</v>
      </c>
      <c r="Y200" s="25">
        <v>37</v>
      </c>
      <c r="Z200" s="32">
        <v>35</v>
      </c>
      <c r="AA200" s="32">
        <v>33</v>
      </c>
      <c r="AB200" s="21">
        <f t="shared" si="89"/>
        <v>-0.32653061224489793</v>
      </c>
      <c r="AC200" s="33">
        <f>+AA200/AA198</f>
        <v>0.19526627218934911</v>
      </c>
      <c r="AD200" s="109"/>
      <c r="AE200" s="109"/>
      <c r="AG200" s="109"/>
      <c r="AH200" s="65">
        <v>1</v>
      </c>
    </row>
    <row r="201" spans="1:34" x14ac:dyDescent="0.15">
      <c r="A201" s="73" t="s">
        <v>62</v>
      </c>
      <c r="B201" s="73" t="s">
        <v>195</v>
      </c>
      <c r="C201" s="73" t="s">
        <v>233</v>
      </c>
      <c r="D201" s="73" t="s">
        <v>234</v>
      </c>
      <c r="E201" s="73" t="s">
        <v>27</v>
      </c>
      <c r="F201" s="73" t="s">
        <v>20</v>
      </c>
      <c r="G201" s="74">
        <v>414743.23</v>
      </c>
      <c r="H201" s="75">
        <v>-282492.86</v>
      </c>
      <c r="I201" s="75">
        <v>132250.37</v>
      </c>
      <c r="J201" s="76"/>
      <c r="K201" s="76"/>
      <c r="L201" s="76"/>
      <c r="M201" s="77"/>
      <c r="N201" s="77"/>
      <c r="O201" s="77"/>
      <c r="P201" s="77"/>
      <c r="Q201" s="77"/>
      <c r="R201" s="77"/>
      <c r="S201" s="78"/>
      <c r="T201" s="78"/>
      <c r="U201" s="78"/>
      <c r="V201" s="78"/>
      <c r="W201" s="25">
        <v>87</v>
      </c>
      <c r="X201" s="25">
        <v>83</v>
      </c>
      <c r="Y201" s="25">
        <v>80</v>
      </c>
      <c r="Z201" s="32">
        <v>75</v>
      </c>
      <c r="AA201" s="32">
        <v>61</v>
      </c>
      <c r="AB201" s="21">
        <f t="shared" si="89"/>
        <v>-0.2988505747126437</v>
      </c>
      <c r="AC201" s="33">
        <f>+AA201/AA198</f>
        <v>0.36094674556213019</v>
      </c>
      <c r="AD201" s="109"/>
      <c r="AE201" s="109"/>
      <c r="AG201" s="109"/>
      <c r="AH201" s="65">
        <v>1</v>
      </c>
    </row>
    <row r="202" spans="1:34" x14ac:dyDescent="0.15">
      <c r="A202" s="73" t="s">
        <v>62</v>
      </c>
      <c r="B202" s="73" t="s">
        <v>117</v>
      </c>
      <c r="C202" s="73" t="s">
        <v>123</v>
      </c>
      <c r="D202" s="73" t="s">
        <v>124</v>
      </c>
      <c r="E202" s="73" t="s">
        <v>27</v>
      </c>
      <c r="F202" s="73" t="s">
        <v>20</v>
      </c>
      <c r="G202" s="74">
        <v>107914.9</v>
      </c>
      <c r="H202" s="75">
        <v>-5008.1000000000004</v>
      </c>
      <c r="I202" s="75">
        <v>102906.8</v>
      </c>
      <c r="J202" s="76"/>
      <c r="K202" s="76"/>
      <c r="L202" s="76"/>
      <c r="M202" s="77"/>
      <c r="N202" s="77"/>
      <c r="O202" s="77"/>
      <c r="P202" s="77"/>
      <c r="Q202" s="77"/>
      <c r="R202" s="77"/>
      <c r="S202" s="78"/>
      <c r="T202" s="78"/>
      <c r="U202" s="78"/>
      <c r="V202" s="78"/>
      <c r="W202" s="25">
        <v>66</v>
      </c>
      <c r="X202" s="25">
        <v>54</v>
      </c>
      <c r="Y202" s="25">
        <v>71</v>
      </c>
      <c r="Z202" s="32">
        <v>57</v>
      </c>
      <c r="AA202" s="32">
        <v>47</v>
      </c>
      <c r="AB202" s="21">
        <f t="shared" si="89"/>
        <v>-0.2878787878787879</v>
      </c>
      <c r="AC202" s="33">
        <f>+AA202/AA198</f>
        <v>0.27810650887573962</v>
      </c>
      <c r="AD202" s="109"/>
      <c r="AE202" s="109"/>
      <c r="AG202" s="109"/>
      <c r="AH202" s="65">
        <v>1</v>
      </c>
    </row>
    <row r="203" spans="1:34" s="11" customFormat="1" x14ac:dyDescent="0.15">
      <c r="A203" s="67"/>
      <c r="B203" s="67" t="s">
        <v>0</v>
      </c>
      <c r="C203" s="67" t="s">
        <v>0</v>
      </c>
      <c r="D203" s="67" t="s">
        <v>0</v>
      </c>
      <c r="E203" s="67" t="s">
        <v>55</v>
      </c>
      <c r="F203" s="67" t="s">
        <v>20</v>
      </c>
      <c r="G203" s="68">
        <f>SUM(G204:G219)</f>
        <v>2879498.59</v>
      </c>
      <c r="H203" s="69">
        <f>SUM(H204:H219)</f>
        <v>-346461.63249999995</v>
      </c>
      <c r="I203" s="68">
        <f>SUM(I204:I219)</f>
        <v>2533036.9575</v>
      </c>
      <c r="J203" s="69">
        <v>2573339</v>
      </c>
      <c r="K203" s="69">
        <v>-355928.060496216</v>
      </c>
      <c r="L203" s="69">
        <f>+J203+K203</f>
        <v>2217410.9395037838</v>
      </c>
      <c r="M203" s="70">
        <v>-1106561.21</v>
      </c>
      <c r="N203" s="70"/>
      <c r="O203" s="70">
        <v>-13356.02</v>
      </c>
      <c r="P203" s="70">
        <v>-30108.06</v>
      </c>
      <c r="Q203" s="70">
        <f>-226676.83-134.56</f>
        <v>-226811.38999999998</v>
      </c>
      <c r="R203" s="70">
        <f>+Q203+M203</f>
        <v>-1333372.5999999999</v>
      </c>
      <c r="S203" s="104">
        <f>+I203+R203</f>
        <v>1199664.3575000002</v>
      </c>
      <c r="T203" s="104">
        <f>+L203+R203</f>
        <v>884038.33950378397</v>
      </c>
      <c r="U203" s="104">
        <f>+I203+M203</f>
        <v>1426475.7475000001</v>
      </c>
      <c r="V203" s="104">
        <f>+L203+M203</f>
        <v>1110849.7295037839</v>
      </c>
      <c r="W203" s="71">
        <f>SUM(W204:W219)</f>
        <v>788</v>
      </c>
      <c r="X203" s="71">
        <f t="shared" ref="X203:AA203" si="90">SUM(X204:X219)</f>
        <v>593</v>
      </c>
      <c r="Y203" s="71">
        <f t="shared" si="90"/>
        <v>489</v>
      </c>
      <c r="Z203" s="71">
        <f t="shared" si="90"/>
        <v>448</v>
      </c>
      <c r="AA203" s="71">
        <f t="shared" si="90"/>
        <v>487</v>
      </c>
      <c r="AB203" s="72">
        <f>+(AA203-W203)/W203</f>
        <v>-0.38197969543147209</v>
      </c>
      <c r="AD203" s="107"/>
      <c r="AE203" s="107"/>
      <c r="AF203" s="108"/>
      <c r="AG203" s="107"/>
      <c r="AH203" s="66">
        <v>1</v>
      </c>
    </row>
    <row r="204" spans="1:34" x14ac:dyDescent="0.15">
      <c r="A204" s="73" t="s">
        <v>62</v>
      </c>
      <c r="B204" s="73" t="s">
        <v>139</v>
      </c>
      <c r="C204" s="73" t="s">
        <v>142</v>
      </c>
      <c r="D204" s="73" t="s">
        <v>143</v>
      </c>
      <c r="E204" s="73" t="s">
        <v>55</v>
      </c>
      <c r="F204" s="73" t="s">
        <v>20</v>
      </c>
      <c r="G204" s="74">
        <v>36472.800000000003</v>
      </c>
      <c r="H204" s="75"/>
      <c r="I204" s="75">
        <v>36472.800000000003</v>
      </c>
      <c r="J204" s="76"/>
      <c r="K204" s="76"/>
      <c r="L204" s="76"/>
      <c r="M204" s="77"/>
      <c r="N204" s="77"/>
      <c r="O204" s="77"/>
      <c r="P204" s="77"/>
      <c r="Q204" s="77"/>
      <c r="R204" s="77"/>
      <c r="S204" s="78"/>
      <c r="T204" s="78"/>
      <c r="U204" s="78"/>
      <c r="V204" s="78"/>
      <c r="W204" s="25">
        <v>13</v>
      </c>
      <c r="X204" s="25">
        <v>10</v>
      </c>
      <c r="Y204" s="25">
        <v>8</v>
      </c>
      <c r="Z204" s="32">
        <v>17</v>
      </c>
      <c r="AA204" s="32">
        <v>18</v>
      </c>
      <c r="AB204" s="21">
        <f t="shared" ref="AB204:AB219" si="91">+(AA204-W204)/W204</f>
        <v>0.38461538461538464</v>
      </c>
      <c r="AC204" s="33">
        <f>+AA204/AA203</f>
        <v>3.6960985626283367E-2</v>
      </c>
      <c r="AD204" s="109"/>
      <c r="AE204" s="109"/>
      <c r="AF204" s="110">
        <f>+AB204/AB203</f>
        <v>-1.0069000766675185</v>
      </c>
      <c r="AG204" s="109"/>
      <c r="AH204" s="65">
        <v>1</v>
      </c>
    </row>
    <row r="205" spans="1:34" x14ac:dyDescent="0.15">
      <c r="A205" s="73" t="s">
        <v>62</v>
      </c>
      <c r="B205" s="73" t="s">
        <v>195</v>
      </c>
      <c r="C205" s="73" t="s">
        <v>227</v>
      </c>
      <c r="D205" s="73" t="s">
        <v>228</v>
      </c>
      <c r="E205" s="73" t="s">
        <v>55</v>
      </c>
      <c r="F205" s="73" t="s">
        <v>20</v>
      </c>
      <c r="G205" s="74">
        <v>478222.7</v>
      </c>
      <c r="H205" s="75">
        <v>-34319.699999999997</v>
      </c>
      <c r="I205" s="75">
        <v>443903</v>
      </c>
      <c r="J205" s="76"/>
      <c r="K205" s="76"/>
      <c r="L205" s="76"/>
      <c r="M205" s="77"/>
      <c r="N205" s="77"/>
      <c r="O205" s="77"/>
      <c r="P205" s="77"/>
      <c r="Q205" s="77"/>
      <c r="R205" s="77"/>
      <c r="S205" s="78"/>
      <c r="T205" s="78"/>
      <c r="U205" s="78"/>
      <c r="V205" s="78"/>
      <c r="W205" s="25">
        <v>208</v>
      </c>
      <c r="X205" s="25">
        <v>121</v>
      </c>
      <c r="Y205" s="25">
        <v>74</v>
      </c>
      <c r="Z205" s="32">
        <v>62</v>
      </c>
      <c r="AA205" s="32">
        <v>100</v>
      </c>
      <c r="AB205" s="21">
        <f t="shared" si="91"/>
        <v>-0.51923076923076927</v>
      </c>
      <c r="AC205" s="33">
        <f>+AA205/AA203</f>
        <v>0.20533880903490759</v>
      </c>
      <c r="AD205" s="109"/>
      <c r="AE205" s="109"/>
      <c r="AG205" s="109"/>
      <c r="AH205" s="65">
        <v>1</v>
      </c>
    </row>
    <row r="206" spans="1:34" x14ac:dyDescent="0.15">
      <c r="A206" s="73" t="s">
        <v>62</v>
      </c>
      <c r="B206" s="73" t="s">
        <v>63</v>
      </c>
      <c r="C206" s="73" t="s">
        <v>76</v>
      </c>
      <c r="D206" s="73" t="s">
        <v>77</v>
      </c>
      <c r="E206" s="73" t="s">
        <v>55</v>
      </c>
      <c r="F206" s="73" t="s">
        <v>20</v>
      </c>
      <c r="G206" s="74">
        <v>88546.3</v>
      </c>
      <c r="H206" s="75">
        <v>-34047.800000000003</v>
      </c>
      <c r="I206" s="75">
        <v>54498.5</v>
      </c>
      <c r="J206" s="76"/>
      <c r="K206" s="76"/>
      <c r="L206" s="76"/>
      <c r="M206" s="77"/>
      <c r="N206" s="77"/>
      <c r="O206" s="77"/>
      <c r="P206" s="77"/>
      <c r="Q206" s="77"/>
      <c r="R206" s="77"/>
      <c r="S206" s="78"/>
      <c r="T206" s="78"/>
      <c r="U206" s="78"/>
      <c r="V206" s="78"/>
      <c r="W206" s="32">
        <v>26</v>
      </c>
      <c r="X206" s="32">
        <v>23</v>
      </c>
      <c r="Y206" s="32">
        <v>27</v>
      </c>
      <c r="Z206" s="32">
        <v>25</v>
      </c>
      <c r="AA206" s="32">
        <v>20</v>
      </c>
      <c r="AB206" s="21">
        <f t="shared" si="91"/>
        <v>-0.23076923076923078</v>
      </c>
      <c r="AC206" s="33">
        <f>+AA206/$AA$203</f>
        <v>4.1067761806981518E-2</v>
      </c>
      <c r="AD206" s="109"/>
      <c r="AE206" s="109"/>
      <c r="AF206" s="110" t="e">
        <f>+AB206/$T$202</f>
        <v>#DIV/0!</v>
      </c>
      <c r="AG206" s="109"/>
      <c r="AH206" s="65">
        <v>1</v>
      </c>
    </row>
    <row r="207" spans="1:34" x14ac:dyDescent="0.15">
      <c r="A207" s="73" t="s">
        <v>62</v>
      </c>
      <c r="B207" s="73" t="s">
        <v>195</v>
      </c>
      <c r="C207" s="73" t="s">
        <v>250</v>
      </c>
      <c r="D207" s="73" t="s">
        <v>251</v>
      </c>
      <c r="E207" s="73" t="s">
        <v>55</v>
      </c>
      <c r="F207" s="73" t="s">
        <v>20</v>
      </c>
      <c r="G207" s="74">
        <v>23965.200000000001</v>
      </c>
      <c r="H207" s="75"/>
      <c r="I207" s="75">
        <v>23965.200000000001</v>
      </c>
      <c r="J207" s="76"/>
      <c r="K207" s="76"/>
      <c r="L207" s="76"/>
      <c r="M207" s="77"/>
      <c r="N207" s="77"/>
      <c r="O207" s="77"/>
      <c r="P207" s="77"/>
      <c r="Q207" s="77"/>
      <c r="R207" s="77"/>
      <c r="S207" s="78"/>
      <c r="T207" s="78"/>
      <c r="U207" s="78"/>
      <c r="V207" s="78"/>
      <c r="W207" s="25">
        <v>21</v>
      </c>
      <c r="X207" s="25">
        <v>16</v>
      </c>
      <c r="Y207" s="25">
        <v>17</v>
      </c>
      <c r="Z207" s="32">
        <v>12</v>
      </c>
      <c r="AA207" s="32">
        <v>6</v>
      </c>
      <c r="AB207" s="21">
        <f t="shared" si="91"/>
        <v>-0.7142857142857143</v>
      </c>
      <c r="AC207" s="33">
        <f t="shared" ref="AC207:AC219" si="92">+AA207/$AA$203</f>
        <v>1.2320328542094456E-2</v>
      </c>
      <c r="AD207" s="109"/>
      <c r="AE207" s="109"/>
      <c r="AG207" s="109"/>
      <c r="AH207" s="65">
        <v>1</v>
      </c>
    </row>
    <row r="208" spans="1:34" s="11" customFormat="1" x14ac:dyDescent="0.15">
      <c r="A208" s="73" t="s">
        <v>62</v>
      </c>
      <c r="B208" s="73" t="s">
        <v>139</v>
      </c>
      <c r="C208" s="73" t="s">
        <v>146</v>
      </c>
      <c r="D208" s="73" t="s">
        <v>147</v>
      </c>
      <c r="E208" s="73" t="s">
        <v>55</v>
      </c>
      <c r="F208" s="73" t="s">
        <v>20</v>
      </c>
      <c r="G208" s="74">
        <v>54373.5</v>
      </c>
      <c r="H208" s="75"/>
      <c r="I208" s="75">
        <v>54373.5</v>
      </c>
      <c r="J208" s="76"/>
      <c r="K208" s="76"/>
      <c r="L208" s="76"/>
      <c r="M208" s="77"/>
      <c r="N208" s="77"/>
      <c r="O208" s="77"/>
      <c r="P208" s="77"/>
      <c r="Q208" s="77"/>
      <c r="R208" s="77"/>
      <c r="S208" s="78"/>
      <c r="T208" s="78"/>
      <c r="U208" s="78"/>
      <c r="V208" s="78"/>
      <c r="W208" s="25">
        <v>19</v>
      </c>
      <c r="X208" s="25">
        <v>16</v>
      </c>
      <c r="Y208" s="25">
        <v>16</v>
      </c>
      <c r="Z208" s="32">
        <v>19</v>
      </c>
      <c r="AA208" s="32">
        <v>16</v>
      </c>
      <c r="AB208" s="21">
        <f t="shared" si="91"/>
        <v>-0.15789473684210525</v>
      </c>
      <c r="AC208" s="33">
        <f t="shared" si="92"/>
        <v>3.2854209445585217E-2</v>
      </c>
      <c r="AD208" s="109"/>
      <c r="AE208" s="109"/>
      <c r="AF208" s="110" t="e">
        <f t="shared" ref="AF208:AF213" si="93">+AB208/$T$202</f>
        <v>#DIV/0!</v>
      </c>
      <c r="AG208" s="109"/>
      <c r="AH208" s="65">
        <v>1</v>
      </c>
    </row>
    <row r="209" spans="1:34" s="11" customFormat="1" x14ac:dyDescent="0.15">
      <c r="A209" s="73" t="s">
        <v>62</v>
      </c>
      <c r="B209" s="73" t="s">
        <v>148</v>
      </c>
      <c r="C209" s="73" t="s">
        <v>191</v>
      </c>
      <c r="D209" s="73" t="s">
        <v>192</v>
      </c>
      <c r="E209" s="73" t="s">
        <v>55</v>
      </c>
      <c r="F209" s="73" t="s">
        <v>20</v>
      </c>
      <c r="G209" s="74">
        <v>9140.4</v>
      </c>
      <c r="H209" s="75"/>
      <c r="I209" s="75">
        <v>9140.4</v>
      </c>
      <c r="J209" s="76"/>
      <c r="K209" s="76"/>
      <c r="L209" s="76"/>
      <c r="M209" s="77"/>
      <c r="N209" s="77"/>
      <c r="O209" s="77"/>
      <c r="P209" s="77"/>
      <c r="Q209" s="77"/>
      <c r="R209" s="77"/>
      <c r="S209" s="78"/>
      <c r="T209" s="78"/>
      <c r="U209" s="78"/>
      <c r="V209" s="78"/>
      <c r="W209" s="32">
        <v>4</v>
      </c>
      <c r="X209" s="32">
        <v>1</v>
      </c>
      <c r="Y209" s="32"/>
      <c r="Z209" s="32"/>
      <c r="AA209" s="32">
        <v>5</v>
      </c>
      <c r="AB209" s="21">
        <f t="shared" si="91"/>
        <v>0.25</v>
      </c>
      <c r="AC209" s="33">
        <f t="shared" si="92"/>
        <v>1.0266940451745379E-2</v>
      </c>
      <c r="AD209" s="109"/>
      <c r="AE209" s="109"/>
      <c r="AF209" s="110" t="e">
        <f t="shared" si="93"/>
        <v>#DIV/0!</v>
      </c>
      <c r="AG209" s="109"/>
      <c r="AH209" s="65">
        <v>1</v>
      </c>
    </row>
    <row r="210" spans="1:34" s="11" customFormat="1" x14ac:dyDescent="0.15">
      <c r="A210" s="73" t="s">
        <v>62</v>
      </c>
      <c r="B210" s="73" t="s">
        <v>195</v>
      </c>
      <c r="C210" s="73" t="s">
        <v>297</v>
      </c>
      <c r="D210" s="73" t="s">
        <v>298</v>
      </c>
      <c r="E210" s="73" t="s">
        <v>55</v>
      </c>
      <c r="F210" s="73" t="s">
        <v>20</v>
      </c>
      <c r="G210" s="74">
        <v>54970.8</v>
      </c>
      <c r="H210" s="75"/>
      <c r="I210" s="75">
        <v>54970.8</v>
      </c>
      <c r="J210" s="76"/>
      <c r="K210" s="76"/>
      <c r="L210" s="76"/>
      <c r="M210" s="77"/>
      <c r="N210" s="77"/>
      <c r="O210" s="77"/>
      <c r="P210" s="77"/>
      <c r="Q210" s="77"/>
      <c r="R210" s="77"/>
      <c r="S210" s="78"/>
      <c r="T210" s="78"/>
      <c r="U210" s="78"/>
      <c r="V210" s="78"/>
      <c r="W210" s="25">
        <v>18</v>
      </c>
      <c r="X210" s="25">
        <v>15</v>
      </c>
      <c r="Y210" s="25">
        <v>11</v>
      </c>
      <c r="Z210" s="32">
        <v>8</v>
      </c>
      <c r="AA210" s="32">
        <v>8</v>
      </c>
      <c r="AB210" s="21">
        <f t="shared" si="91"/>
        <v>-0.55555555555555558</v>
      </c>
      <c r="AC210" s="33">
        <f t="shared" si="92"/>
        <v>1.6427104722792608E-2</v>
      </c>
      <c r="AD210" s="109"/>
      <c r="AE210" s="109"/>
      <c r="AF210" s="110"/>
      <c r="AG210" s="109"/>
      <c r="AH210" s="65">
        <v>1</v>
      </c>
    </row>
    <row r="211" spans="1:34" s="11" customFormat="1" x14ac:dyDescent="0.15">
      <c r="A211" s="73" t="s">
        <v>62</v>
      </c>
      <c r="B211" s="73" t="s">
        <v>195</v>
      </c>
      <c r="C211" s="73" t="s">
        <v>305</v>
      </c>
      <c r="D211" s="73" t="s">
        <v>306</v>
      </c>
      <c r="E211" s="73" t="s">
        <v>55</v>
      </c>
      <c r="F211" s="73" t="s">
        <v>20</v>
      </c>
      <c r="G211" s="74">
        <v>172929</v>
      </c>
      <c r="H211" s="75"/>
      <c r="I211" s="75">
        <v>172929</v>
      </c>
      <c r="J211" s="76"/>
      <c r="K211" s="76"/>
      <c r="L211" s="76"/>
      <c r="M211" s="77"/>
      <c r="N211" s="77"/>
      <c r="O211" s="77"/>
      <c r="P211" s="77"/>
      <c r="Q211" s="77"/>
      <c r="R211" s="77"/>
      <c r="S211" s="78"/>
      <c r="T211" s="78"/>
      <c r="U211" s="78"/>
      <c r="V211" s="78"/>
      <c r="W211" s="25">
        <v>3</v>
      </c>
      <c r="X211" s="25">
        <v>5</v>
      </c>
      <c r="Y211" s="25">
        <v>10</v>
      </c>
      <c r="Z211" s="32">
        <v>23</v>
      </c>
      <c r="AA211" s="32">
        <v>27</v>
      </c>
      <c r="AB211" s="21">
        <f t="shared" si="91"/>
        <v>8</v>
      </c>
      <c r="AC211" s="33">
        <f t="shared" si="92"/>
        <v>5.5441478439425054E-2</v>
      </c>
      <c r="AD211" s="109"/>
      <c r="AE211" s="109"/>
      <c r="AF211" s="110" t="e">
        <f t="shared" si="93"/>
        <v>#DIV/0!</v>
      </c>
      <c r="AG211" s="109"/>
      <c r="AH211" s="65">
        <v>1</v>
      </c>
    </row>
    <row r="212" spans="1:34" s="11" customFormat="1" x14ac:dyDescent="0.15">
      <c r="A212" s="73" t="s">
        <v>321</v>
      </c>
      <c r="B212" s="73" t="s">
        <v>322</v>
      </c>
      <c r="C212" s="73" t="s">
        <v>496</v>
      </c>
      <c r="D212" s="73" t="s">
        <v>497</v>
      </c>
      <c r="E212" s="73" t="s">
        <v>55</v>
      </c>
      <c r="F212" s="73" t="s">
        <v>20</v>
      </c>
      <c r="G212" s="74">
        <v>444711.15</v>
      </c>
      <c r="H212" s="75">
        <v>-83371.990000000005</v>
      </c>
      <c r="I212" s="75">
        <v>361339.16</v>
      </c>
      <c r="J212" s="76"/>
      <c r="K212" s="76"/>
      <c r="L212" s="76"/>
      <c r="M212" s="77"/>
      <c r="N212" s="77"/>
      <c r="O212" s="77"/>
      <c r="P212" s="77"/>
      <c r="Q212" s="77"/>
      <c r="R212" s="77"/>
      <c r="S212" s="78"/>
      <c r="T212" s="78"/>
      <c r="U212" s="78"/>
      <c r="V212" s="78"/>
      <c r="W212" s="25">
        <v>92</v>
      </c>
      <c r="X212" s="25">
        <v>90</v>
      </c>
      <c r="Y212" s="25">
        <v>68</v>
      </c>
      <c r="Z212" s="32">
        <v>60</v>
      </c>
      <c r="AA212" s="32">
        <v>57</v>
      </c>
      <c r="AB212" s="21">
        <f t="shared" si="91"/>
        <v>-0.38043478260869568</v>
      </c>
      <c r="AC212" s="33"/>
      <c r="AD212" s="109"/>
      <c r="AE212" s="109"/>
      <c r="AF212" s="110" t="e">
        <f t="shared" si="93"/>
        <v>#DIV/0!</v>
      </c>
      <c r="AG212" s="109" t="s">
        <v>522</v>
      </c>
      <c r="AH212" s="65" t="s">
        <v>518</v>
      </c>
    </row>
    <row r="213" spans="1:34" s="11" customFormat="1" x14ac:dyDescent="0.15">
      <c r="A213" s="73" t="s">
        <v>321</v>
      </c>
      <c r="B213" s="73" t="s">
        <v>322</v>
      </c>
      <c r="C213" s="73" t="s">
        <v>498</v>
      </c>
      <c r="D213" s="73" t="s">
        <v>499</v>
      </c>
      <c r="E213" s="73" t="s">
        <v>55</v>
      </c>
      <c r="F213" s="73" t="s">
        <v>20</v>
      </c>
      <c r="G213" s="74">
        <v>62318.9</v>
      </c>
      <c r="H213" s="75">
        <v>-2000</v>
      </c>
      <c r="I213" s="75">
        <v>60318.9</v>
      </c>
      <c r="J213" s="76"/>
      <c r="K213" s="76"/>
      <c r="L213" s="76"/>
      <c r="M213" s="77"/>
      <c r="N213" s="77"/>
      <c r="O213" s="77"/>
      <c r="P213" s="77"/>
      <c r="Q213" s="77"/>
      <c r="R213" s="77"/>
      <c r="S213" s="78"/>
      <c r="T213" s="78"/>
      <c r="U213" s="78"/>
      <c r="V213" s="78"/>
      <c r="W213" s="25">
        <v>44</v>
      </c>
      <c r="X213" s="25">
        <v>46</v>
      </c>
      <c r="Y213" s="25">
        <v>28</v>
      </c>
      <c r="Z213" s="32">
        <v>20</v>
      </c>
      <c r="AA213" s="32">
        <v>9</v>
      </c>
      <c r="AB213" s="21">
        <f t="shared" si="91"/>
        <v>-0.79545454545454541</v>
      </c>
      <c r="AC213" s="33"/>
      <c r="AD213" s="109"/>
      <c r="AE213" s="109"/>
      <c r="AF213" s="110" t="e">
        <f t="shared" si="93"/>
        <v>#DIV/0!</v>
      </c>
      <c r="AG213" s="109"/>
      <c r="AH213" s="65">
        <v>3</v>
      </c>
    </row>
    <row r="214" spans="1:34" s="118" customFormat="1" x14ac:dyDescent="0.15">
      <c r="A214" s="73" t="s">
        <v>321</v>
      </c>
      <c r="B214" s="73" t="s">
        <v>322</v>
      </c>
      <c r="C214" s="73" t="s">
        <v>500</v>
      </c>
      <c r="D214" s="73" t="s">
        <v>501</v>
      </c>
      <c r="E214" s="73" t="s">
        <v>55</v>
      </c>
      <c r="F214" s="73" t="s">
        <v>20</v>
      </c>
      <c r="G214" s="96">
        <v>182197.4</v>
      </c>
      <c r="H214" s="114">
        <v>-14001.172500000001</v>
      </c>
      <c r="I214" s="114">
        <v>168196.22750000001</v>
      </c>
      <c r="J214" s="114"/>
      <c r="K214" s="114"/>
      <c r="L214" s="114"/>
      <c r="M214" s="115"/>
      <c r="N214" s="115"/>
      <c r="O214" s="115"/>
      <c r="P214" s="115"/>
      <c r="Q214" s="115"/>
      <c r="R214" s="115"/>
      <c r="S214" s="116"/>
      <c r="T214" s="116"/>
      <c r="U214" s="116"/>
      <c r="V214" s="116"/>
      <c r="W214" s="25">
        <v>157</v>
      </c>
      <c r="X214" s="25">
        <v>115</v>
      </c>
      <c r="Y214" s="25">
        <v>86</v>
      </c>
      <c r="Z214" s="32">
        <v>67</v>
      </c>
      <c r="AA214" s="32">
        <v>24</v>
      </c>
      <c r="AB214" s="117">
        <f t="shared" si="91"/>
        <v>-0.84713375796178347</v>
      </c>
      <c r="AD214" s="110"/>
      <c r="AE214" s="110"/>
      <c r="AF214" s="110"/>
      <c r="AG214" s="110"/>
      <c r="AH214" s="65">
        <v>3</v>
      </c>
    </row>
    <row r="215" spans="1:34" s="11" customFormat="1" x14ac:dyDescent="0.15">
      <c r="A215" s="73" t="s">
        <v>321</v>
      </c>
      <c r="B215" s="73" t="s">
        <v>322</v>
      </c>
      <c r="C215" s="73" t="s">
        <v>502</v>
      </c>
      <c r="D215" s="73" t="s">
        <v>503</v>
      </c>
      <c r="E215" s="73" t="s">
        <v>55</v>
      </c>
      <c r="F215" s="73" t="s">
        <v>20</v>
      </c>
      <c r="G215" s="74">
        <v>267023.74</v>
      </c>
      <c r="H215" s="75">
        <v>-18423.62</v>
      </c>
      <c r="I215" s="75">
        <v>248600.12</v>
      </c>
      <c r="J215" s="76"/>
      <c r="K215" s="76"/>
      <c r="L215" s="76"/>
      <c r="M215" s="77"/>
      <c r="N215" s="77"/>
      <c r="O215" s="77"/>
      <c r="P215" s="77"/>
      <c r="Q215" s="77"/>
      <c r="R215" s="77"/>
      <c r="S215" s="78"/>
      <c r="T215" s="78"/>
      <c r="U215" s="78"/>
      <c r="V215" s="78"/>
      <c r="W215" s="25">
        <v>45</v>
      </c>
      <c r="X215" s="25">
        <v>34</v>
      </c>
      <c r="Y215" s="25">
        <v>24</v>
      </c>
      <c r="Z215" s="32">
        <v>38</v>
      </c>
      <c r="AA215" s="32">
        <v>38</v>
      </c>
      <c r="AB215" s="21">
        <f t="shared" si="91"/>
        <v>-0.15555555555555556</v>
      </c>
      <c r="AC215" s="33"/>
      <c r="AD215" s="109"/>
      <c r="AE215" s="109"/>
      <c r="AF215" s="110">
        <f t="shared" ref="AF215" si="94">+AB215/$U$203</f>
        <v>-1.0904886103263775E-7</v>
      </c>
      <c r="AG215" s="109"/>
      <c r="AH215" s="65">
        <v>1</v>
      </c>
    </row>
    <row r="216" spans="1:34" s="11" customFormat="1" x14ac:dyDescent="0.15">
      <c r="A216" s="73" t="s">
        <v>321</v>
      </c>
      <c r="B216" s="73" t="s">
        <v>322</v>
      </c>
      <c r="C216" s="73" t="s">
        <v>353</v>
      </c>
      <c r="D216" s="73" t="s">
        <v>354</v>
      </c>
      <c r="E216" s="73" t="s">
        <v>55</v>
      </c>
      <c r="F216" s="73" t="s">
        <v>20</v>
      </c>
      <c r="G216" s="74">
        <v>171094.6</v>
      </c>
      <c r="H216" s="75">
        <v>-22016.400000000001</v>
      </c>
      <c r="I216" s="75">
        <v>149078.20000000001</v>
      </c>
      <c r="J216" s="76"/>
      <c r="K216" s="76"/>
      <c r="L216" s="76"/>
      <c r="M216" s="77"/>
      <c r="N216" s="77"/>
      <c r="O216" s="77"/>
      <c r="P216" s="77"/>
      <c r="Q216" s="77"/>
      <c r="R216" s="77"/>
      <c r="S216" s="78"/>
      <c r="T216" s="78"/>
      <c r="U216" s="78"/>
      <c r="V216" s="78"/>
      <c r="W216" s="25">
        <v>27</v>
      </c>
      <c r="X216" s="25">
        <v>14</v>
      </c>
      <c r="Y216" s="32">
        <v>22</v>
      </c>
      <c r="Z216" s="32">
        <v>19</v>
      </c>
      <c r="AA216" s="32">
        <v>31</v>
      </c>
      <c r="AB216" s="21">
        <f t="shared" si="91"/>
        <v>0.14814814814814814</v>
      </c>
      <c r="AC216" s="33">
        <f t="shared" si="92"/>
        <v>6.3655030800821355E-2</v>
      </c>
      <c r="AD216" s="113"/>
      <c r="AE216" s="113"/>
      <c r="AF216" s="110">
        <f>+AB216/AB215</f>
        <v>-0.95238095238095233</v>
      </c>
      <c r="AG216" s="113"/>
      <c r="AH216" s="65">
        <v>1</v>
      </c>
    </row>
    <row r="217" spans="1:34" s="11" customFormat="1" x14ac:dyDescent="0.15">
      <c r="A217" s="73" t="s">
        <v>321</v>
      </c>
      <c r="B217" s="73" t="s">
        <v>322</v>
      </c>
      <c r="C217" s="73" t="s">
        <v>361</v>
      </c>
      <c r="D217" s="73" t="s">
        <v>362</v>
      </c>
      <c r="E217" s="73" t="s">
        <v>55</v>
      </c>
      <c r="F217" s="73" t="s">
        <v>20</v>
      </c>
      <c r="G217" s="74">
        <v>498794.1</v>
      </c>
      <c r="H217" s="75">
        <v>-103536.15</v>
      </c>
      <c r="I217" s="75">
        <v>395257.95</v>
      </c>
      <c r="J217" s="76"/>
      <c r="K217" s="76"/>
      <c r="L217" s="76"/>
      <c r="M217" s="77"/>
      <c r="N217" s="77"/>
      <c r="O217" s="77"/>
      <c r="P217" s="77"/>
      <c r="Q217" s="77"/>
      <c r="R217" s="77"/>
      <c r="S217" s="78"/>
      <c r="T217" s="78"/>
      <c r="U217" s="78"/>
      <c r="V217" s="78"/>
      <c r="W217" s="25">
        <v>39</v>
      </c>
      <c r="X217" s="25">
        <v>36</v>
      </c>
      <c r="Y217" s="32">
        <v>49</v>
      </c>
      <c r="Z217" s="32">
        <v>43</v>
      </c>
      <c r="AA217" s="32">
        <v>71</v>
      </c>
      <c r="AB217" s="21">
        <f t="shared" si="91"/>
        <v>0.82051282051282048</v>
      </c>
      <c r="AC217" s="33">
        <f t="shared" si="92"/>
        <v>0.14579055441478439</v>
      </c>
      <c r="AD217" s="109"/>
      <c r="AE217" s="109"/>
      <c r="AF217" s="110">
        <f>+AB217/AB216</f>
        <v>5.5384615384615383</v>
      </c>
      <c r="AG217" s="109"/>
      <c r="AH217" s="65">
        <v>1</v>
      </c>
    </row>
    <row r="218" spans="1:34" s="11" customFormat="1" x14ac:dyDescent="0.15">
      <c r="A218" s="73" t="s">
        <v>321</v>
      </c>
      <c r="B218" s="73" t="s">
        <v>322</v>
      </c>
      <c r="C218" s="73" t="s">
        <v>401</v>
      </c>
      <c r="D218" s="73" t="s">
        <v>402</v>
      </c>
      <c r="E218" s="73" t="s">
        <v>55</v>
      </c>
      <c r="F218" s="73" t="s">
        <v>20</v>
      </c>
      <c r="G218" s="74">
        <v>86745.600000000006</v>
      </c>
      <c r="H218" s="75">
        <v>-6000</v>
      </c>
      <c r="I218" s="75">
        <v>80745.600000000006</v>
      </c>
      <c r="J218" s="76"/>
      <c r="K218" s="76"/>
      <c r="L218" s="76"/>
      <c r="M218" s="77"/>
      <c r="N218" s="77"/>
      <c r="O218" s="77"/>
      <c r="P218" s="77"/>
      <c r="Q218" s="77"/>
      <c r="R218" s="77"/>
      <c r="S218" s="78"/>
      <c r="T218" s="78"/>
      <c r="U218" s="78"/>
      <c r="V218" s="78"/>
      <c r="W218" s="25">
        <v>24</v>
      </c>
      <c r="X218" s="25">
        <v>20</v>
      </c>
      <c r="Y218" s="32">
        <v>18</v>
      </c>
      <c r="Z218" s="32">
        <v>9</v>
      </c>
      <c r="AA218" s="32">
        <v>15</v>
      </c>
      <c r="AB218" s="21">
        <f t="shared" si="91"/>
        <v>-0.375</v>
      </c>
      <c r="AC218" s="33">
        <f t="shared" si="92"/>
        <v>3.0800821355236138E-2</v>
      </c>
      <c r="AD218" s="109"/>
      <c r="AE218" s="109"/>
      <c r="AF218" s="110" t="e">
        <f>+AB214/$T$202</f>
        <v>#DIV/0!</v>
      </c>
      <c r="AG218" s="109"/>
      <c r="AH218" s="65">
        <v>3</v>
      </c>
    </row>
    <row r="219" spans="1:34" s="11" customFormat="1" x14ac:dyDescent="0.15">
      <c r="A219" s="73" t="s">
        <v>321</v>
      </c>
      <c r="B219" s="73" t="s">
        <v>322</v>
      </c>
      <c r="C219" s="73" t="s">
        <v>432</v>
      </c>
      <c r="D219" s="73" t="s">
        <v>433</v>
      </c>
      <c r="E219" s="73" t="s">
        <v>55</v>
      </c>
      <c r="F219" s="73" t="s">
        <v>20</v>
      </c>
      <c r="G219" s="74">
        <v>247992.4</v>
      </c>
      <c r="H219" s="75">
        <v>-28744.799999999999</v>
      </c>
      <c r="I219" s="75">
        <v>219247.6</v>
      </c>
      <c r="J219" s="76"/>
      <c r="K219" s="76"/>
      <c r="L219" s="76"/>
      <c r="M219" s="77"/>
      <c r="N219" s="77"/>
      <c r="O219" s="77"/>
      <c r="P219" s="77"/>
      <c r="Q219" s="77"/>
      <c r="R219" s="77"/>
      <c r="S219" s="78"/>
      <c r="T219" s="78"/>
      <c r="U219" s="78"/>
      <c r="V219" s="78"/>
      <c r="W219" s="25">
        <v>48</v>
      </c>
      <c r="X219" s="25">
        <v>31</v>
      </c>
      <c r="Y219" s="32">
        <v>31</v>
      </c>
      <c r="Z219" s="32">
        <v>26</v>
      </c>
      <c r="AA219" s="32">
        <v>42</v>
      </c>
      <c r="AB219" s="21">
        <f t="shared" si="91"/>
        <v>-0.125</v>
      </c>
      <c r="AC219" s="33">
        <f t="shared" si="92"/>
        <v>8.6242299794661192E-2</v>
      </c>
      <c r="AD219" s="113"/>
      <c r="AE219" s="113"/>
      <c r="AF219" s="110">
        <f>+AB219/AB217</f>
        <v>-0.15234375</v>
      </c>
      <c r="AG219" s="113"/>
      <c r="AH219" s="65">
        <v>3</v>
      </c>
    </row>
    <row r="220" spans="1:34" s="11" customFormat="1" x14ac:dyDescent="0.15">
      <c r="A220" s="67"/>
      <c r="B220" s="67" t="s">
        <v>0</v>
      </c>
      <c r="C220" s="67" t="s">
        <v>0</v>
      </c>
      <c r="D220" s="67" t="s">
        <v>0</v>
      </c>
      <c r="E220" s="67" t="s">
        <v>155</v>
      </c>
      <c r="F220" s="67" t="s">
        <v>155</v>
      </c>
      <c r="G220" s="68">
        <f>SUM(G221:G222)</f>
        <v>16498.099999999999</v>
      </c>
      <c r="H220" s="69">
        <f t="shared" ref="H220:I220" si="95">SUM(H221:H222)</f>
        <v>-3900.65</v>
      </c>
      <c r="I220" s="69">
        <f t="shared" si="95"/>
        <v>12597.45</v>
      </c>
      <c r="J220" s="69">
        <v>90241</v>
      </c>
      <c r="K220" s="69">
        <v>-89761</v>
      </c>
      <c r="L220" s="69">
        <f>+J220+K220</f>
        <v>480</v>
      </c>
      <c r="M220" s="70"/>
      <c r="N220" s="70"/>
      <c r="O220" s="70"/>
      <c r="P220" s="70"/>
      <c r="Q220" s="70"/>
      <c r="R220" s="70"/>
      <c r="S220" s="104"/>
      <c r="T220" s="104"/>
      <c r="U220" s="104"/>
      <c r="V220" s="104"/>
      <c r="W220" s="71">
        <f>SUM(W221:W222)</f>
        <v>27</v>
      </c>
      <c r="X220" s="71">
        <f t="shared" ref="X220:AA220" si="96">SUM(X221:X222)</f>
        <v>35</v>
      </c>
      <c r="Y220" s="71">
        <f t="shared" si="96"/>
        <v>51</v>
      </c>
      <c r="Z220" s="71">
        <f t="shared" si="96"/>
        <v>49</v>
      </c>
      <c r="AA220" s="71">
        <f t="shared" si="96"/>
        <v>41</v>
      </c>
      <c r="AB220" s="72">
        <f>+(AA220-W220)/W220</f>
        <v>0.51851851851851849</v>
      </c>
      <c r="AD220" s="107"/>
      <c r="AE220" s="107"/>
      <c r="AF220" s="108"/>
      <c r="AG220" s="107" t="s">
        <v>520</v>
      </c>
      <c r="AH220" s="81" t="s">
        <v>518</v>
      </c>
    </row>
    <row r="221" spans="1:34" s="11" customFormat="1" x14ac:dyDescent="0.15">
      <c r="A221" s="73" t="s">
        <v>62</v>
      </c>
      <c r="B221" s="73" t="s">
        <v>148</v>
      </c>
      <c r="C221" s="73" t="s">
        <v>153</v>
      </c>
      <c r="D221" s="73" t="s">
        <v>154</v>
      </c>
      <c r="E221" s="73" t="s">
        <v>155</v>
      </c>
      <c r="F221" s="73" t="s">
        <v>155</v>
      </c>
      <c r="G221" s="74">
        <v>11572.4</v>
      </c>
      <c r="H221" s="75">
        <v>-3900.65</v>
      </c>
      <c r="I221" s="75">
        <v>7671.75</v>
      </c>
      <c r="J221" s="76"/>
      <c r="K221" s="76"/>
      <c r="L221" s="76"/>
      <c r="M221" s="77"/>
      <c r="N221" s="77"/>
      <c r="O221" s="77"/>
      <c r="P221" s="77"/>
      <c r="Q221" s="77"/>
      <c r="R221" s="77"/>
      <c r="S221" s="78"/>
      <c r="T221" s="78"/>
      <c r="U221" s="78"/>
      <c r="V221" s="78"/>
      <c r="W221" s="32">
        <v>19</v>
      </c>
      <c r="X221" s="32">
        <v>27</v>
      </c>
      <c r="Y221" s="32">
        <v>46</v>
      </c>
      <c r="Z221" s="32">
        <v>46</v>
      </c>
      <c r="AA221" s="32">
        <v>38</v>
      </c>
      <c r="AB221" s="21">
        <f t="shared" ref="AB221:AB222" si="97">+(AA221-W221)/W221</f>
        <v>1</v>
      </c>
      <c r="AC221" s="33">
        <f>+AA221/AA220</f>
        <v>0.92682926829268297</v>
      </c>
      <c r="AD221" s="109"/>
      <c r="AE221" s="109"/>
      <c r="AF221" s="110">
        <f>+AB221/AB220</f>
        <v>1.9285714285714286</v>
      </c>
      <c r="AG221" s="109" t="s">
        <v>520</v>
      </c>
      <c r="AH221" s="65" t="s">
        <v>518</v>
      </c>
    </row>
    <row r="222" spans="1:34" s="11" customFormat="1" x14ac:dyDescent="0.15">
      <c r="A222" s="73" t="s">
        <v>62</v>
      </c>
      <c r="B222" s="73" t="s">
        <v>148</v>
      </c>
      <c r="C222" s="73" t="s">
        <v>172</v>
      </c>
      <c r="D222" s="73" t="s">
        <v>173</v>
      </c>
      <c r="E222" s="73" t="s">
        <v>155</v>
      </c>
      <c r="F222" s="73" t="s">
        <v>155</v>
      </c>
      <c r="G222" s="74">
        <v>4925.7</v>
      </c>
      <c r="H222" s="75"/>
      <c r="I222" s="75">
        <v>4925.7</v>
      </c>
      <c r="J222" s="76"/>
      <c r="K222" s="76"/>
      <c r="L222" s="76"/>
      <c r="M222" s="77"/>
      <c r="N222" s="77"/>
      <c r="O222" s="77"/>
      <c r="P222" s="77"/>
      <c r="Q222" s="77"/>
      <c r="R222" s="77"/>
      <c r="S222" s="78"/>
      <c r="T222" s="78"/>
      <c r="U222" s="78"/>
      <c r="V222" s="78"/>
      <c r="W222" s="32">
        <v>8</v>
      </c>
      <c r="X222" s="32">
        <v>8</v>
      </c>
      <c r="Y222" s="32">
        <v>5</v>
      </c>
      <c r="Z222" s="32">
        <v>3</v>
      </c>
      <c r="AA222" s="32">
        <v>3</v>
      </c>
      <c r="AB222" s="21">
        <f t="shared" si="97"/>
        <v>-0.625</v>
      </c>
      <c r="AC222" s="33">
        <f>+AA222/AA220</f>
        <v>7.3170731707317069E-2</v>
      </c>
      <c r="AD222" s="109"/>
      <c r="AE222" s="109"/>
      <c r="AF222" s="110">
        <f>+AB222/AB220</f>
        <v>-1.205357142857143</v>
      </c>
      <c r="AG222" s="109" t="s">
        <v>520</v>
      </c>
      <c r="AH222" s="65" t="s">
        <v>518</v>
      </c>
    </row>
    <row r="223" spans="1:34" s="11" customFormat="1" x14ac:dyDescent="0.15">
      <c r="A223" s="67"/>
      <c r="B223" s="67" t="s">
        <v>0</v>
      </c>
      <c r="C223" s="67" t="s">
        <v>0</v>
      </c>
      <c r="D223" s="67" t="s">
        <v>0</v>
      </c>
      <c r="E223" s="67" t="s">
        <v>36</v>
      </c>
      <c r="F223" s="67" t="s">
        <v>37</v>
      </c>
      <c r="G223" s="68">
        <v>9333032.6600000001</v>
      </c>
      <c r="H223" s="69">
        <v>-3000000.29</v>
      </c>
      <c r="I223" s="69">
        <v>6333032.3700000001</v>
      </c>
      <c r="J223" s="69">
        <v>9285077.3000000007</v>
      </c>
      <c r="K223" s="69">
        <f>-2984506.79093463+1197</f>
        <v>-2983309.7909346302</v>
      </c>
      <c r="L223" s="69">
        <f>+J223+K223</f>
        <v>6301767.509065371</v>
      </c>
      <c r="M223" s="70">
        <f>-4316872.14</f>
        <v>-4316872.1399999997</v>
      </c>
      <c r="N223" s="70"/>
      <c r="O223" s="70">
        <v>-654922.85</v>
      </c>
      <c r="P223" s="70">
        <v>-80726.34</v>
      </c>
      <c r="Q223" s="70">
        <v>-196122.23</v>
      </c>
      <c r="R223" s="70">
        <f>+Q223+M223</f>
        <v>-4512994.37</v>
      </c>
      <c r="S223" s="104">
        <f>+I223+R223</f>
        <v>1820038</v>
      </c>
      <c r="T223" s="104">
        <f>+L223+R223</f>
        <v>1788773.1390653709</v>
      </c>
      <c r="U223" s="104">
        <f>+I223+M223</f>
        <v>2016160.2300000004</v>
      </c>
      <c r="V223" s="104">
        <f>+L223+M223</f>
        <v>1984895.3690653713</v>
      </c>
      <c r="W223" s="71">
        <f>SUM(W224:W226)</f>
        <v>489</v>
      </c>
      <c r="X223" s="71">
        <f t="shared" ref="X223:AA223" si="98">SUM(X224:X226)</f>
        <v>475</v>
      </c>
      <c r="Y223" s="71">
        <f t="shared" si="98"/>
        <v>461</v>
      </c>
      <c r="Z223" s="71">
        <f t="shared" si="98"/>
        <v>457</v>
      </c>
      <c r="AA223" s="71">
        <f t="shared" si="98"/>
        <v>440</v>
      </c>
      <c r="AB223" s="72">
        <f>+(AA223-W223)/W223</f>
        <v>-0.10020449897750511</v>
      </c>
      <c r="AD223" s="107"/>
      <c r="AE223" s="119"/>
      <c r="AF223" s="108"/>
      <c r="AG223" s="119"/>
      <c r="AH223" s="81">
        <v>1</v>
      </c>
    </row>
    <row r="224" spans="1:34" s="11" customFormat="1" x14ac:dyDescent="0.15">
      <c r="A224" s="73" t="s">
        <v>62</v>
      </c>
      <c r="B224" s="73" t="s">
        <v>195</v>
      </c>
      <c r="C224" s="73" t="s">
        <v>256</v>
      </c>
      <c r="D224" s="73" t="s">
        <v>257</v>
      </c>
      <c r="E224" s="73" t="s">
        <v>36</v>
      </c>
      <c r="F224" s="73" t="s">
        <v>37</v>
      </c>
      <c r="G224" s="74">
        <v>426344.76</v>
      </c>
      <c r="H224" s="75">
        <v>-117276.3</v>
      </c>
      <c r="I224" s="75">
        <v>309068.46000000002</v>
      </c>
      <c r="J224" s="76"/>
      <c r="K224" s="76"/>
      <c r="L224" s="76"/>
      <c r="M224" s="77"/>
      <c r="N224" s="77"/>
      <c r="O224" s="77"/>
      <c r="P224" s="77"/>
      <c r="Q224" s="77"/>
      <c r="R224" s="77"/>
      <c r="S224" s="78"/>
      <c r="T224" s="78"/>
      <c r="U224" s="78"/>
      <c r="V224" s="78"/>
      <c r="W224" s="32">
        <v>7</v>
      </c>
      <c r="X224" s="32">
        <v>21</v>
      </c>
      <c r="Y224" s="32">
        <v>30</v>
      </c>
      <c r="Z224" s="32">
        <v>27</v>
      </c>
      <c r="AA224" s="32">
        <v>27</v>
      </c>
      <c r="AB224" s="21">
        <f t="shared" ref="AB224:AB226" si="99">+(AA224-W224)/W224</f>
        <v>2.8571428571428572</v>
      </c>
      <c r="AC224" s="33">
        <f>+AA224/AA223</f>
        <v>6.1363636363636363E-2</v>
      </c>
      <c r="AD224" s="10"/>
      <c r="AE224" s="109"/>
      <c r="AF224" s="110"/>
      <c r="AG224" s="109"/>
      <c r="AH224" s="82">
        <v>1</v>
      </c>
    </row>
    <row r="225" spans="1:34" s="11" customFormat="1" x14ac:dyDescent="0.15">
      <c r="A225" s="73" t="s">
        <v>62</v>
      </c>
      <c r="B225" s="73" t="s">
        <v>195</v>
      </c>
      <c r="C225" s="73" t="s">
        <v>303</v>
      </c>
      <c r="D225" s="73" t="s">
        <v>304</v>
      </c>
      <c r="E225" s="73" t="s">
        <v>36</v>
      </c>
      <c r="F225" s="73" t="s">
        <v>37</v>
      </c>
      <c r="G225" s="74">
        <v>76941.320000000007</v>
      </c>
      <c r="H225" s="75">
        <v>-19895.2</v>
      </c>
      <c r="I225" s="75">
        <v>57046.12</v>
      </c>
      <c r="J225" s="76"/>
      <c r="K225" s="76"/>
      <c r="L225" s="76"/>
      <c r="M225" s="77"/>
      <c r="N225" s="77"/>
      <c r="O225" s="77"/>
      <c r="P225" s="77"/>
      <c r="Q225" s="77"/>
      <c r="R225" s="77"/>
      <c r="S225" s="78"/>
      <c r="T225" s="78"/>
      <c r="U225" s="78"/>
      <c r="V225" s="78"/>
      <c r="W225" s="32">
        <v>9</v>
      </c>
      <c r="X225" s="32">
        <v>12</v>
      </c>
      <c r="Y225" s="32">
        <v>9</v>
      </c>
      <c r="Z225" s="32">
        <v>9</v>
      </c>
      <c r="AA225" s="32">
        <v>9</v>
      </c>
      <c r="AB225" s="21">
        <f t="shared" si="99"/>
        <v>0</v>
      </c>
      <c r="AC225" s="33">
        <f>+AA225/AA223</f>
        <v>2.0454545454545454E-2</v>
      </c>
      <c r="AD225" s="10"/>
      <c r="AE225" s="10"/>
      <c r="AF225" s="110"/>
      <c r="AG225" s="109"/>
      <c r="AH225" s="82">
        <v>1</v>
      </c>
    </row>
    <row r="226" spans="1:34" s="11" customFormat="1" x14ac:dyDescent="0.15">
      <c r="A226" s="73" t="s">
        <v>313</v>
      </c>
      <c r="B226" s="73" t="s">
        <v>59</v>
      </c>
      <c r="C226" s="73" t="s">
        <v>314</v>
      </c>
      <c r="D226" s="73" t="s">
        <v>315</v>
      </c>
      <c r="E226" s="73" t="s">
        <v>36</v>
      </c>
      <c r="F226" s="73" t="s">
        <v>37</v>
      </c>
      <c r="G226" s="74">
        <v>8829746.5800000001</v>
      </c>
      <c r="H226" s="75">
        <v>-2862828.79</v>
      </c>
      <c r="I226" s="75">
        <v>5966917.79</v>
      </c>
      <c r="J226" s="76"/>
      <c r="K226" s="76"/>
      <c r="L226" s="76"/>
      <c r="M226" s="77"/>
      <c r="N226" s="77"/>
      <c r="O226" s="77"/>
      <c r="P226" s="77"/>
      <c r="Q226" s="77"/>
      <c r="R226" s="77"/>
      <c r="S226" s="78"/>
      <c r="T226" s="78"/>
      <c r="U226" s="78"/>
      <c r="V226" s="78"/>
      <c r="W226" s="32">
        <v>473</v>
      </c>
      <c r="X226" s="32">
        <v>442</v>
      </c>
      <c r="Y226" s="32">
        <v>422</v>
      </c>
      <c r="Z226" s="32">
        <v>421</v>
      </c>
      <c r="AA226" s="32">
        <v>404</v>
      </c>
      <c r="AB226" s="21">
        <f t="shared" si="99"/>
        <v>-0.14587737843551796</v>
      </c>
      <c r="AC226" s="33">
        <f>+AA226/AA223</f>
        <v>0.91818181818181821</v>
      </c>
      <c r="AD226" s="10"/>
      <c r="AE226" s="10"/>
      <c r="AF226" s="110"/>
      <c r="AG226" s="109"/>
      <c r="AH226" s="82">
        <v>1</v>
      </c>
    </row>
    <row r="227" spans="1:34" s="11" customFormat="1" x14ac:dyDescent="0.15">
      <c r="A227" s="67"/>
      <c r="B227" s="67" t="s">
        <v>0</v>
      </c>
      <c r="C227" s="67" t="s">
        <v>0</v>
      </c>
      <c r="D227" s="67" t="s">
        <v>0</v>
      </c>
      <c r="E227" s="67" t="s">
        <v>10</v>
      </c>
      <c r="F227" s="67" t="s">
        <v>11</v>
      </c>
      <c r="G227" s="68">
        <v>195732.6</v>
      </c>
      <c r="H227" s="69">
        <v>-86923.14</v>
      </c>
      <c r="I227" s="69">
        <v>108809.46</v>
      </c>
      <c r="J227" s="69">
        <v>272489.74</v>
      </c>
      <c r="K227" s="69">
        <v>-113640.469047619</v>
      </c>
      <c r="L227" s="69">
        <f>+J227+K227</f>
        <v>158849.27095238099</v>
      </c>
      <c r="M227" s="70">
        <f>-936413.69-N227-76030.52</f>
        <v>-996040.82</v>
      </c>
      <c r="N227" s="70">
        <v>-16403.39</v>
      </c>
      <c r="O227" s="70"/>
      <c r="P227" s="70">
        <f>-4934.18-156650.3+2532.13+1689.22-14133.71</f>
        <v>-171496.83999999997</v>
      </c>
      <c r="Q227" s="70">
        <v>-108036.18</v>
      </c>
      <c r="R227" s="70">
        <f>+Q227+M227</f>
        <v>-1104077</v>
      </c>
      <c r="S227" s="104">
        <f>+I227+R227</f>
        <v>-995267.54</v>
      </c>
      <c r="T227" s="104">
        <f>+L227+R227</f>
        <v>-945227.72904761904</v>
      </c>
      <c r="U227" s="104">
        <f>+I227+M227</f>
        <v>-887231.36</v>
      </c>
      <c r="V227" s="104">
        <f>+L227+M227</f>
        <v>-837191.54904761899</v>
      </c>
      <c r="W227" s="71">
        <f>SUM(W228:W230)</f>
        <v>39</v>
      </c>
      <c r="X227" s="71">
        <f t="shared" ref="X227:AA227" si="100">SUM(X228:X230)</f>
        <v>36</v>
      </c>
      <c r="Y227" s="71">
        <f t="shared" si="100"/>
        <v>42</v>
      </c>
      <c r="Z227" s="71">
        <f t="shared" si="100"/>
        <v>49</v>
      </c>
      <c r="AA227" s="71">
        <f t="shared" si="100"/>
        <v>52</v>
      </c>
      <c r="AB227" s="72">
        <f>+(AA227-W227)/W227</f>
        <v>0.33333333333333331</v>
      </c>
      <c r="AD227" s="107"/>
      <c r="AE227" s="107"/>
      <c r="AF227" s="108"/>
      <c r="AG227" s="107"/>
      <c r="AH227" s="66">
        <v>1</v>
      </c>
    </row>
    <row r="228" spans="1:34" s="11" customFormat="1" x14ac:dyDescent="0.15">
      <c r="A228" s="73" t="s">
        <v>62</v>
      </c>
      <c r="B228" s="73" t="s">
        <v>195</v>
      </c>
      <c r="C228" s="73" t="s">
        <v>202</v>
      </c>
      <c r="D228" s="73" t="s">
        <v>203</v>
      </c>
      <c r="E228" s="73" t="s">
        <v>10</v>
      </c>
      <c r="F228" s="73" t="s">
        <v>11</v>
      </c>
      <c r="G228" s="74">
        <v>106258.1</v>
      </c>
      <c r="H228" s="75">
        <v>-27482.26</v>
      </c>
      <c r="I228" s="75">
        <v>78775.839999999997</v>
      </c>
      <c r="J228" s="76"/>
      <c r="K228" s="76"/>
      <c r="L228" s="76"/>
      <c r="M228" s="77"/>
      <c r="N228" s="77"/>
      <c r="O228" s="77"/>
      <c r="P228" s="77"/>
      <c r="Q228" s="77"/>
      <c r="R228" s="77"/>
      <c r="S228" s="78"/>
      <c r="T228" s="78"/>
      <c r="U228" s="78"/>
      <c r="V228" s="78"/>
      <c r="W228" s="32">
        <v>27</v>
      </c>
      <c r="X228" s="32">
        <v>25</v>
      </c>
      <c r="Y228" s="32">
        <v>24</v>
      </c>
      <c r="Z228" s="32">
        <v>26</v>
      </c>
      <c r="AA228" s="32">
        <v>27</v>
      </c>
      <c r="AB228" s="21">
        <f t="shared" ref="AB228:AB230" si="101">+(AA228-W228)/W228</f>
        <v>0</v>
      </c>
      <c r="AC228" s="33">
        <f>+AA228/AA227</f>
        <v>0.51923076923076927</v>
      </c>
      <c r="AD228" s="109"/>
      <c r="AE228" s="109"/>
      <c r="AF228" s="110"/>
      <c r="AG228" s="109"/>
      <c r="AH228" s="65">
        <v>1</v>
      </c>
    </row>
    <row r="229" spans="1:34" s="11" customFormat="1" x14ac:dyDescent="0.15">
      <c r="A229" s="73" t="s">
        <v>62</v>
      </c>
      <c r="B229" s="73" t="s">
        <v>63</v>
      </c>
      <c r="C229" s="73" t="s">
        <v>66</v>
      </c>
      <c r="D229" s="73" t="s">
        <v>67</v>
      </c>
      <c r="E229" s="73" t="s">
        <v>10</v>
      </c>
      <c r="F229" s="73" t="s">
        <v>11</v>
      </c>
      <c r="G229" s="74">
        <v>72949.899999999994</v>
      </c>
      <c r="H229" s="75">
        <v>-55546.58</v>
      </c>
      <c r="I229" s="75">
        <v>17403.32</v>
      </c>
      <c r="J229" s="76"/>
      <c r="K229" s="76"/>
      <c r="L229" s="76"/>
      <c r="M229" s="77"/>
      <c r="N229" s="77"/>
      <c r="O229" s="77"/>
      <c r="P229" s="77"/>
      <c r="Q229" s="77"/>
      <c r="R229" s="77"/>
      <c r="S229" s="78"/>
      <c r="T229" s="78"/>
      <c r="U229" s="78"/>
      <c r="V229" s="78"/>
      <c r="W229" s="32">
        <v>6</v>
      </c>
      <c r="X229" s="32">
        <v>6</v>
      </c>
      <c r="Y229" s="32">
        <v>14</v>
      </c>
      <c r="Z229" s="32">
        <v>17</v>
      </c>
      <c r="AA229" s="32">
        <v>17</v>
      </c>
      <c r="AB229" s="21">
        <f t="shared" si="101"/>
        <v>1.8333333333333333</v>
      </c>
      <c r="AC229" s="33">
        <f>+AA229/AA227</f>
        <v>0.32692307692307693</v>
      </c>
      <c r="AD229" s="109"/>
      <c r="AE229" s="109"/>
      <c r="AF229" s="110"/>
      <c r="AG229" s="109"/>
      <c r="AH229" s="65">
        <v>1</v>
      </c>
    </row>
    <row r="230" spans="1:34" s="11" customFormat="1" x14ac:dyDescent="0.15">
      <c r="A230" s="73" t="s">
        <v>62</v>
      </c>
      <c r="B230" s="73" t="s">
        <v>148</v>
      </c>
      <c r="C230" s="73" t="s">
        <v>151</v>
      </c>
      <c r="D230" s="73" t="s">
        <v>152</v>
      </c>
      <c r="E230" s="73" t="s">
        <v>10</v>
      </c>
      <c r="F230" s="73" t="s">
        <v>11</v>
      </c>
      <c r="G230" s="74">
        <v>16524.599999999999</v>
      </c>
      <c r="H230" s="75">
        <v>-3894.3</v>
      </c>
      <c r="I230" s="75">
        <v>12630.3</v>
      </c>
      <c r="J230" s="76"/>
      <c r="K230" s="76"/>
      <c r="L230" s="76"/>
      <c r="M230" s="77"/>
      <c r="N230" s="77"/>
      <c r="O230" s="77"/>
      <c r="P230" s="77"/>
      <c r="Q230" s="77"/>
      <c r="R230" s="77"/>
      <c r="S230" s="78"/>
      <c r="T230" s="78"/>
      <c r="U230" s="78"/>
      <c r="V230" s="78"/>
      <c r="W230" s="32">
        <v>6</v>
      </c>
      <c r="X230" s="32">
        <v>5</v>
      </c>
      <c r="Y230" s="32">
        <v>4</v>
      </c>
      <c r="Z230" s="32">
        <v>6</v>
      </c>
      <c r="AA230" s="32">
        <v>8</v>
      </c>
      <c r="AB230" s="21">
        <f t="shared" si="101"/>
        <v>0.33333333333333331</v>
      </c>
      <c r="AC230" s="33">
        <f>+AA230/AA227</f>
        <v>0.15384615384615385</v>
      </c>
      <c r="AD230" s="109"/>
      <c r="AE230" s="109"/>
      <c r="AF230" s="110"/>
      <c r="AG230" s="109"/>
      <c r="AH230" s="65">
        <v>1</v>
      </c>
    </row>
    <row r="231" spans="1:34" s="11" customFormat="1" ht="30" x14ac:dyDescent="0.15">
      <c r="A231" s="67"/>
      <c r="B231" s="67" t="s">
        <v>0</v>
      </c>
      <c r="C231" s="67" t="s">
        <v>0</v>
      </c>
      <c r="D231" s="67" t="s">
        <v>0</v>
      </c>
      <c r="E231" s="79" t="s">
        <v>33</v>
      </c>
      <c r="F231" s="67" t="s">
        <v>11</v>
      </c>
      <c r="G231" s="68">
        <v>2008821.6</v>
      </c>
      <c r="H231" s="69">
        <v>-75102.7</v>
      </c>
      <c r="I231" s="69">
        <v>1933718.9</v>
      </c>
      <c r="J231" s="69">
        <v>2007924</v>
      </c>
      <c r="K231" s="69">
        <v>-67722.317666237694</v>
      </c>
      <c r="L231" s="69">
        <f>+J231+K231</f>
        <v>1940201.6823337623</v>
      </c>
      <c r="M231" s="70">
        <f>-913963.61</f>
        <v>-913963.61</v>
      </c>
      <c r="N231" s="70"/>
      <c r="O231" s="70">
        <f>-87468.57</f>
        <v>-87468.57</v>
      </c>
      <c r="P231" s="70">
        <f>-108217.5-2532.13-5558.84-177238.05-9908.13-1689.22</f>
        <v>-305143.87</v>
      </c>
      <c r="Q231" s="70">
        <v>-30480.68</v>
      </c>
      <c r="R231" s="70">
        <f>+Q231+M231</f>
        <v>-944444.29</v>
      </c>
      <c r="S231" s="104">
        <f>+I231+R231</f>
        <v>989274.60999999987</v>
      </c>
      <c r="T231" s="104">
        <f>+L231+R231</f>
        <v>995757.39233376225</v>
      </c>
      <c r="U231" s="104">
        <f>+I231+M231</f>
        <v>1019755.2899999999</v>
      </c>
      <c r="V231" s="104">
        <f>+L231+M231</f>
        <v>1026238.0723337623</v>
      </c>
      <c r="W231" s="71">
        <f>SUM(W232:W235)</f>
        <v>116</v>
      </c>
      <c r="X231" s="71">
        <f t="shared" ref="X231:AA231" si="102">SUM(X232:X235)</f>
        <v>121</v>
      </c>
      <c r="Y231" s="71">
        <f t="shared" si="102"/>
        <v>116</v>
      </c>
      <c r="Z231" s="71">
        <f t="shared" si="102"/>
        <v>127</v>
      </c>
      <c r="AA231" s="71">
        <f t="shared" si="102"/>
        <v>122</v>
      </c>
      <c r="AB231" s="72">
        <f>+(AA231-W231)/W231</f>
        <v>5.1724137931034482E-2</v>
      </c>
      <c r="AD231" s="107"/>
      <c r="AE231" s="107"/>
      <c r="AF231" s="108"/>
      <c r="AG231" s="107"/>
      <c r="AH231" s="81"/>
    </row>
    <row r="232" spans="1:34" s="11" customFormat="1" x14ac:dyDescent="0.15">
      <c r="A232" s="73" t="s">
        <v>62</v>
      </c>
      <c r="B232" s="73" t="s">
        <v>195</v>
      </c>
      <c r="C232" s="73" t="s">
        <v>198</v>
      </c>
      <c r="D232" s="73" t="s">
        <v>199</v>
      </c>
      <c r="E232" s="73" t="s">
        <v>33</v>
      </c>
      <c r="F232" s="73" t="s">
        <v>11</v>
      </c>
      <c r="G232" s="74">
        <v>802794</v>
      </c>
      <c r="H232" s="75">
        <v>-19619.400000000001</v>
      </c>
      <c r="I232" s="75">
        <v>783174.6</v>
      </c>
      <c r="J232" s="76"/>
      <c r="K232" s="76"/>
      <c r="L232" s="76"/>
      <c r="M232" s="77"/>
      <c r="N232" s="77"/>
      <c r="O232" s="77"/>
      <c r="P232" s="77"/>
      <c r="Q232" s="77"/>
      <c r="R232" s="77"/>
      <c r="S232" s="78"/>
      <c r="T232" s="78"/>
      <c r="U232" s="78"/>
      <c r="V232" s="78"/>
      <c r="W232" s="32">
        <v>33</v>
      </c>
      <c r="X232" s="32">
        <v>38</v>
      </c>
      <c r="Y232" s="32">
        <v>41</v>
      </c>
      <c r="Z232" s="32">
        <v>41</v>
      </c>
      <c r="AA232" s="32">
        <v>39</v>
      </c>
      <c r="AB232" s="21">
        <f t="shared" ref="AB232:AB235" si="103">+(AA232-W232)/W232</f>
        <v>0.18181818181818182</v>
      </c>
      <c r="AC232" s="33">
        <f>+AA232/AA231</f>
        <v>0.31967213114754101</v>
      </c>
      <c r="AD232" s="109"/>
      <c r="AE232" s="109"/>
      <c r="AF232" s="110">
        <f>+AB232/AB231</f>
        <v>3.5151515151515151</v>
      </c>
      <c r="AG232" s="109"/>
      <c r="AH232" s="65">
        <v>1</v>
      </c>
    </row>
    <row r="233" spans="1:34" s="11" customFormat="1" x14ac:dyDescent="0.15">
      <c r="A233" s="73" t="s">
        <v>62</v>
      </c>
      <c r="B233" s="73" t="s">
        <v>195</v>
      </c>
      <c r="C233" s="73" t="s">
        <v>254</v>
      </c>
      <c r="D233" s="73" t="s">
        <v>255</v>
      </c>
      <c r="E233" s="73" t="s">
        <v>33</v>
      </c>
      <c r="F233" s="73" t="s">
        <v>11</v>
      </c>
      <c r="G233" s="74">
        <v>58222.3</v>
      </c>
      <c r="H233" s="75">
        <v>-13165.8</v>
      </c>
      <c r="I233" s="75">
        <v>45056.5</v>
      </c>
      <c r="J233" s="76"/>
      <c r="K233" s="76"/>
      <c r="L233" s="76"/>
      <c r="M233" s="77"/>
      <c r="N233" s="77"/>
      <c r="O233" s="77"/>
      <c r="P233" s="77"/>
      <c r="Q233" s="77"/>
      <c r="R233" s="77"/>
      <c r="S233" s="78"/>
      <c r="T233" s="78"/>
      <c r="U233" s="78"/>
      <c r="V233" s="78"/>
      <c r="W233" s="32">
        <v>20</v>
      </c>
      <c r="X233" s="32">
        <v>18</v>
      </c>
      <c r="Y233" s="32">
        <v>15</v>
      </c>
      <c r="Z233" s="32">
        <v>18</v>
      </c>
      <c r="AA233" s="32">
        <v>16</v>
      </c>
      <c r="AB233" s="21">
        <f t="shared" si="103"/>
        <v>-0.2</v>
      </c>
      <c r="AC233" s="33">
        <f>+AA233/AA231</f>
        <v>0.13114754098360656</v>
      </c>
      <c r="AD233" s="109"/>
      <c r="AE233" s="109"/>
      <c r="AF233" s="110">
        <f>+AB233/AB231</f>
        <v>-3.8666666666666671</v>
      </c>
      <c r="AG233" s="109"/>
      <c r="AH233" s="65">
        <v>1</v>
      </c>
    </row>
    <row r="234" spans="1:34" s="11" customFormat="1" x14ac:dyDescent="0.15">
      <c r="A234" s="73" t="s">
        <v>62</v>
      </c>
      <c r="B234" s="73" t="s">
        <v>148</v>
      </c>
      <c r="C234" s="73" t="s">
        <v>170</v>
      </c>
      <c r="D234" s="73" t="s">
        <v>171</v>
      </c>
      <c r="E234" s="73" t="s">
        <v>33</v>
      </c>
      <c r="F234" s="73" t="s">
        <v>11</v>
      </c>
      <c r="G234" s="74">
        <v>17260.8</v>
      </c>
      <c r="H234" s="75">
        <v>-1894.5</v>
      </c>
      <c r="I234" s="75">
        <v>15366.3</v>
      </c>
      <c r="J234" s="76"/>
      <c r="K234" s="76"/>
      <c r="L234" s="76"/>
      <c r="M234" s="77"/>
      <c r="N234" s="77"/>
      <c r="O234" s="77"/>
      <c r="P234" s="77"/>
      <c r="Q234" s="77"/>
      <c r="R234" s="77"/>
      <c r="S234" s="78"/>
      <c r="T234" s="78"/>
      <c r="U234" s="78"/>
      <c r="V234" s="78"/>
      <c r="W234" s="32">
        <v>10</v>
      </c>
      <c r="X234" s="32">
        <v>6</v>
      </c>
      <c r="Y234" s="32">
        <v>1</v>
      </c>
      <c r="Z234" s="32">
        <v>6</v>
      </c>
      <c r="AA234" s="32">
        <v>7</v>
      </c>
      <c r="AB234" s="21">
        <f t="shared" si="103"/>
        <v>-0.3</v>
      </c>
      <c r="AC234" s="33">
        <f>+AA234/AA231</f>
        <v>5.737704918032787E-2</v>
      </c>
      <c r="AD234" s="109"/>
      <c r="AE234" s="109"/>
      <c r="AF234" s="110">
        <f>+AB234/AB231</f>
        <v>-5.8</v>
      </c>
      <c r="AG234" s="109"/>
      <c r="AH234" s="65">
        <v>1</v>
      </c>
    </row>
    <row r="235" spans="1:34" s="11" customFormat="1" x14ac:dyDescent="0.15">
      <c r="A235" s="73" t="s">
        <v>62</v>
      </c>
      <c r="B235" s="73" t="s">
        <v>195</v>
      </c>
      <c r="C235" s="73" t="s">
        <v>283</v>
      </c>
      <c r="D235" s="73" t="s">
        <v>284</v>
      </c>
      <c r="E235" s="73" t="s">
        <v>33</v>
      </c>
      <c r="F235" s="73" t="s">
        <v>11</v>
      </c>
      <c r="G235" s="74">
        <v>1130544.5</v>
      </c>
      <c r="H235" s="75">
        <v>-40423</v>
      </c>
      <c r="I235" s="75">
        <v>1090121.5</v>
      </c>
      <c r="J235" s="76"/>
      <c r="K235" s="76"/>
      <c r="L235" s="76"/>
      <c r="M235" s="77"/>
      <c r="N235" s="77"/>
      <c r="O235" s="77"/>
      <c r="P235" s="77"/>
      <c r="Q235" s="77"/>
      <c r="R235" s="77"/>
      <c r="S235" s="78"/>
      <c r="T235" s="78"/>
      <c r="U235" s="78"/>
      <c r="V235" s="78"/>
      <c r="W235" s="32">
        <v>53</v>
      </c>
      <c r="X235" s="32">
        <v>59</v>
      </c>
      <c r="Y235" s="32">
        <v>59</v>
      </c>
      <c r="Z235" s="32">
        <v>62</v>
      </c>
      <c r="AA235" s="32">
        <v>60</v>
      </c>
      <c r="AB235" s="21">
        <f t="shared" si="103"/>
        <v>0.13207547169811321</v>
      </c>
      <c r="AC235" s="33">
        <f>+AA235/AA231</f>
        <v>0.49180327868852458</v>
      </c>
      <c r="AD235" s="109"/>
      <c r="AE235" s="109"/>
      <c r="AF235" s="110">
        <f>+AB235/AB231</f>
        <v>2.5534591194968552</v>
      </c>
      <c r="AG235" s="109"/>
      <c r="AH235" s="65">
        <v>1</v>
      </c>
    </row>
    <row r="236" spans="1:34" s="11" customFormat="1" ht="30" x14ac:dyDescent="0.15">
      <c r="A236" s="67"/>
      <c r="B236" s="67" t="s">
        <v>0</v>
      </c>
      <c r="C236" s="67" t="s">
        <v>0</v>
      </c>
      <c r="D236" s="67" t="s">
        <v>0</v>
      </c>
      <c r="E236" s="79" t="s">
        <v>508</v>
      </c>
      <c r="F236" s="67" t="s">
        <v>11</v>
      </c>
      <c r="G236" s="68">
        <v>19476880.739999998</v>
      </c>
      <c r="H236" s="69">
        <v>-1160671.8500000001</v>
      </c>
      <c r="I236" s="69">
        <v>18316208.890000001</v>
      </c>
      <c r="J236" s="69">
        <v>17878776.030000001</v>
      </c>
      <c r="K236" s="69">
        <v>-1185531.59209901</v>
      </c>
      <c r="L236" s="69">
        <f>+J236+K236</f>
        <v>16693244.43790099</v>
      </c>
      <c r="M236" s="70">
        <f>-1424954.07-241974.46-332305.7-12095.22-76737.4-212436.05</f>
        <v>-2300502.9</v>
      </c>
      <c r="N236" s="70">
        <v>-38679.06</v>
      </c>
      <c r="O236" s="70">
        <f>-382637.21-185177.65-133626.66-45758.2-93286.11</f>
        <v>-840485.83</v>
      </c>
      <c r="P236" s="70">
        <f>-3600-431.48-4430.23-179.24-4000-4599.14</f>
        <v>-17240.09</v>
      </c>
      <c r="Q236" s="70">
        <v>-67601.64</v>
      </c>
      <c r="R236" s="70">
        <f>+Q236+M236</f>
        <v>-2368104.54</v>
      </c>
      <c r="S236" s="104">
        <f>+I236+R236</f>
        <v>15948104.350000001</v>
      </c>
      <c r="T236" s="104">
        <f>+L236+R236</f>
        <v>14325139.897900991</v>
      </c>
      <c r="U236" s="104">
        <f>+I236+M236</f>
        <v>16015705.99</v>
      </c>
      <c r="V236" s="104">
        <f>+L236+M236</f>
        <v>14392741.53790099</v>
      </c>
      <c r="W236" s="71">
        <f>SUM(W237:W238)</f>
        <v>686</v>
      </c>
      <c r="X236" s="71">
        <f t="shared" ref="X236:AA236" si="104">SUM(X237:X238)</f>
        <v>696</v>
      </c>
      <c r="Y236" s="71">
        <f t="shared" si="104"/>
        <v>706</v>
      </c>
      <c r="Z236" s="71">
        <f t="shared" si="104"/>
        <v>698</v>
      </c>
      <c r="AA236" s="71">
        <f t="shared" si="104"/>
        <v>713</v>
      </c>
      <c r="AB236" s="72">
        <f>+(AA236-W236)/W236</f>
        <v>3.9358600583090382E-2</v>
      </c>
      <c r="AD236" s="107"/>
      <c r="AE236" s="107"/>
      <c r="AF236" s="108"/>
      <c r="AG236" s="107"/>
      <c r="AH236" s="81">
        <v>1</v>
      </c>
    </row>
    <row r="237" spans="1:34" s="11" customFormat="1" x14ac:dyDescent="0.15">
      <c r="A237" s="73" t="s">
        <v>316</v>
      </c>
      <c r="B237" s="73" t="s">
        <v>59</v>
      </c>
      <c r="C237" s="73" t="s">
        <v>317</v>
      </c>
      <c r="D237" s="73" t="s">
        <v>318</v>
      </c>
      <c r="E237" s="73" t="s">
        <v>39</v>
      </c>
      <c r="F237" s="73" t="s">
        <v>11</v>
      </c>
      <c r="G237" s="74">
        <v>13417014.300000001</v>
      </c>
      <c r="H237" s="75">
        <v>-790081.15</v>
      </c>
      <c r="I237" s="75">
        <v>12626933.15</v>
      </c>
      <c r="J237" s="76"/>
      <c r="K237" s="76"/>
      <c r="L237" s="76"/>
      <c r="M237" s="77"/>
      <c r="N237" s="77"/>
      <c r="O237" s="77"/>
      <c r="P237" s="77"/>
      <c r="Q237" s="77"/>
      <c r="R237" s="77"/>
      <c r="S237" s="78"/>
      <c r="T237" s="78"/>
      <c r="U237" s="78"/>
      <c r="V237" s="78"/>
      <c r="W237" s="32">
        <v>447</v>
      </c>
      <c r="X237" s="32">
        <v>469</v>
      </c>
      <c r="Y237" s="32">
        <v>476</v>
      </c>
      <c r="Z237" s="32">
        <v>466</v>
      </c>
      <c r="AA237" s="32">
        <v>481</v>
      </c>
      <c r="AB237" s="21">
        <f t="shared" ref="AB237:AB238" si="105">+(AA237-W237)/W237</f>
        <v>7.6062639821029079E-2</v>
      </c>
      <c r="AC237" s="33">
        <f>+AA237/AA236</f>
        <v>0.67461430575035064</v>
      </c>
      <c r="AD237" s="109"/>
      <c r="AE237" s="109"/>
      <c r="AF237" s="110">
        <f>+AB237/AB236</f>
        <v>1.9325544784157758</v>
      </c>
      <c r="AG237" s="109"/>
      <c r="AH237" s="65">
        <v>1</v>
      </c>
    </row>
    <row r="238" spans="1:34" s="11" customFormat="1" x14ac:dyDescent="0.15">
      <c r="A238" s="73" t="s">
        <v>321</v>
      </c>
      <c r="B238" s="73" t="s">
        <v>322</v>
      </c>
      <c r="C238" s="73" t="s">
        <v>399</v>
      </c>
      <c r="D238" s="73" t="s">
        <v>400</v>
      </c>
      <c r="E238" s="73" t="s">
        <v>39</v>
      </c>
      <c r="F238" s="73" t="s">
        <v>11</v>
      </c>
      <c r="G238" s="74">
        <v>6059866.4400000004</v>
      </c>
      <c r="H238" s="75">
        <v>-370590.7</v>
      </c>
      <c r="I238" s="75">
        <v>5689275.7400000002</v>
      </c>
      <c r="J238" s="76"/>
      <c r="K238" s="76"/>
      <c r="L238" s="76"/>
      <c r="M238" s="77"/>
      <c r="N238" s="77"/>
      <c r="O238" s="77"/>
      <c r="P238" s="77"/>
      <c r="Q238" s="77"/>
      <c r="R238" s="77"/>
      <c r="S238" s="78"/>
      <c r="T238" s="78"/>
      <c r="U238" s="78"/>
      <c r="V238" s="78"/>
      <c r="W238" s="25">
        <v>239</v>
      </c>
      <c r="X238" s="25">
        <v>227</v>
      </c>
      <c r="Y238" s="32">
        <v>230</v>
      </c>
      <c r="Z238" s="32">
        <v>232</v>
      </c>
      <c r="AA238" s="32">
        <v>232</v>
      </c>
      <c r="AB238" s="21">
        <f t="shared" si="105"/>
        <v>-2.9288702928870293E-2</v>
      </c>
      <c r="AC238" s="33">
        <f>+AA238/AA236</f>
        <v>0.32538569424964936</v>
      </c>
      <c r="AD238" s="109"/>
      <c r="AE238" s="109"/>
      <c r="AF238" s="110">
        <f>+AB238/AB236</f>
        <v>-0.74415000774833406</v>
      </c>
      <c r="AG238" s="109"/>
      <c r="AH238" s="65">
        <v>1</v>
      </c>
    </row>
    <row r="239" spans="1:34" s="11" customFormat="1" x14ac:dyDescent="0.15">
      <c r="A239" s="67"/>
      <c r="B239" s="67" t="s">
        <v>0</v>
      </c>
      <c r="C239" s="67" t="s">
        <v>0</v>
      </c>
      <c r="D239" s="67" t="s">
        <v>0</v>
      </c>
      <c r="E239" s="67" t="s">
        <v>41</v>
      </c>
      <c r="F239" s="67" t="s">
        <v>42</v>
      </c>
      <c r="G239" s="68">
        <v>11753966.48</v>
      </c>
      <c r="H239" s="69">
        <v>-1641221.9724999999</v>
      </c>
      <c r="I239" s="69">
        <v>10112744.5075</v>
      </c>
      <c r="J239" s="69">
        <v>10294048.73</v>
      </c>
      <c r="K239" s="69">
        <f>-1179433.31678038-107</f>
        <v>-1179540.31678038</v>
      </c>
      <c r="L239" s="69">
        <f>+J239+K239</f>
        <v>9114508.4132196195</v>
      </c>
      <c r="M239" s="70">
        <f>-4325524.16</f>
        <v>-4325524.16</v>
      </c>
      <c r="N239" s="70">
        <v>-7669.81</v>
      </c>
      <c r="O239" s="70">
        <v>-319110.87</v>
      </c>
      <c r="P239" s="70">
        <v>-213024.82</v>
      </c>
      <c r="Q239" s="70"/>
      <c r="R239" s="70">
        <f>+Q239+M239</f>
        <v>-4325524.16</v>
      </c>
      <c r="S239" s="104">
        <f>+I239+R239</f>
        <v>5787220.3475000001</v>
      </c>
      <c r="T239" s="104">
        <f>+L239+R239</f>
        <v>4788984.2532196194</v>
      </c>
      <c r="U239" s="104">
        <f>+I239+M239</f>
        <v>5787220.3475000001</v>
      </c>
      <c r="V239" s="104">
        <f>+L239+M239</f>
        <v>4788984.2532196194</v>
      </c>
      <c r="W239" s="71">
        <f>SUM(W240:W252)</f>
        <v>1584</v>
      </c>
      <c r="X239" s="71">
        <f t="shared" ref="X239:AA239" si="106">SUM(X240:X252)</f>
        <v>1683</v>
      </c>
      <c r="Y239" s="71">
        <f t="shared" si="106"/>
        <v>1571</v>
      </c>
      <c r="Z239" s="71">
        <f t="shared" si="106"/>
        <v>1749</v>
      </c>
      <c r="AA239" s="71">
        <f t="shared" si="106"/>
        <v>1720</v>
      </c>
      <c r="AB239" s="72">
        <f>+(AA239-W239)/W239</f>
        <v>8.5858585858585856E-2</v>
      </c>
      <c r="AD239" s="107"/>
      <c r="AE239" s="107"/>
      <c r="AF239" s="108"/>
      <c r="AG239" s="107"/>
      <c r="AH239" s="81">
        <v>1</v>
      </c>
    </row>
    <row r="240" spans="1:34" s="11" customFormat="1" x14ac:dyDescent="0.15">
      <c r="A240" s="73" t="s">
        <v>62</v>
      </c>
      <c r="B240" s="73" t="s">
        <v>148</v>
      </c>
      <c r="C240" s="73" t="s">
        <v>149</v>
      </c>
      <c r="D240" s="73" t="s">
        <v>150</v>
      </c>
      <c r="E240" s="73" t="s">
        <v>41</v>
      </c>
      <c r="F240" s="73" t="s">
        <v>42</v>
      </c>
      <c r="G240" s="74">
        <v>1955.4</v>
      </c>
      <c r="H240" s="75"/>
      <c r="I240" s="75">
        <v>1955.4</v>
      </c>
      <c r="J240" s="76"/>
      <c r="K240" s="76"/>
      <c r="L240" s="76"/>
      <c r="M240" s="77"/>
      <c r="N240" s="77"/>
      <c r="O240" s="77"/>
      <c r="P240" s="77"/>
      <c r="Q240" s="77"/>
      <c r="R240" s="77"/>
      <c r="S240" s="78"/>
      <c r="T240" s="78"/>
      <c r="U240" s="78"/>
      <c r="V240" s="78"/>
      <c r="W240" s="32"/>
      <c r="X240" s="32"/>
      <c r="Y240" s="32"/>
      <c r="Z240" s="32"/>
      <c r="AA240" s="32">
        <v>5</v>
      </c>
      <c r="AB240" s="22"/>
      <c r="AC240" s="33">
        <f>+AA240/AA239</f>
        <v>2.9069767441860465E-3</v>
      </c>
      <c r="AD240" s="109"/>
      <c r="AE240" s="109"/>
      <c r="AF240" s="110">
        <f>+AB240/AB239</f>
        <v>0</v>
      </c>
      <c r="AG240" s="109"/>
      <c r="AH240" s="82">
        <v>1</v>
      </c>
    </row>
    <row r="241" spans="1:34" s="11" customFormat="1" x14ac:dyDescent="0.15">
      <c r="A241" s="73" t="s">
        <v>62</v>
      </c>
      <c r="B241" s="73" t="s">
        <v>148</v>
      </c>
      <c r="C241" s="73" t="s">
        <v>182</v>
      </c>
      <c r="D241" s="73" t="s">
        <v>183</v>
      </c>
      <c r="E241" s="73" t="s">
        <v>41</v>
      </c>
      <c r="F241" s="73" t="s">
        <v>42</v>
      </c>
      <c r="G241" s="74">
        <v>3910.8</v>
      </c>
      <c r="H241" s="75"/>
      <c r="I241" s="75">
        <v>3910.8</v>
      </c>
      <c r="J241" s="76"/>
      <c r="K241" s="76"/>
      <c r="L241" s="76"/>
      <c r="M241" s="77"/>
      <c r="N241" s="77"/>
      <c r="O241" s="77"/>
      <c r="P241" s="77"/>
      <c r="Q241" s="77"/>
      <c r="R241" s="77"/>
      <c r="S241" s="78"/>
      <c r="T241" s="78"/>
      <c r="U241" s="78"/>
      <c r="V241" s="78"/>
      <c r="W241" s="32"/>
      <c r="X241" s="32"/>
      <c r="Y241" s="32">
        <v>1</v>
      </c>
      <c r="Z241" s="32">
        <v>3</v>
      </c>
      <c r="AA241" s="32">
        <v>2</v>
      </c>
      <c r="AB241" s="21">
        <f t="shared" ref="AB241:AB245" si="107">+(AA241-Y241)/Y241</f>
        <v>1</v>
      </c>
      <c r="AC241" s="33">
        <f>+AA241/AA239</f>
        <v>1.1627906976744186E-3</v>
      </c>
      <c r="AD241" s="109"/>
      <c r="AE241" s="109"/>
      <c r="AF241" s="110">
        <f>+AB241/AB239</f>
        <v>11.647058823529411</v>
      </c>
      <c r="AG241" s="109"/>
      <c r="AH241" s="82">
        <v>1</v>
      </c>
    </row>
    <row r="242" spans="1:34" s="11" customFormat="1" x14ac:dyDescent="0.15">
      <c r="A242" s="73" t="s">
        <v>62</v>
      </c>
      <c r="B242" s="73" t="s">
        <v>148</v>
      </c>
      <c r="C242" s="73" t="s">
        <v>164</v>
      </c>
      <c r="D242" s="73" t="s">
        <v>165</v>
      </c>
      <c r="E242" s="73" t="s">
        <v>41</v>
      </c>
      <c r="F242" s="73" t="s">
        <v>42</v>
      </c>
      <c r="G242" s="74">
        <v>65608.05</v>
      </c>
      <c r="H242" s="75"/>
      <c r="I242" s="75">
        <v>65608.05</v>
      </c>
      <c r="J242" s="76"/>
      <c r="K242" s="76"/>
      <c r="L242" s="76"/>
      <c r="M242" s="77"/>
      <c r="N242" s="77"/>
      <c r="O242" s="77"/>
      <c r="P242" s="77"/>
      <c r="Q242" s="77"/>
      <c r="R242" s="77"/>
      <c r="S242" s="78"/>
      <c r="T242" s="78"/>
      <c r="U242" s="78"/>
      <c r="V242" s="78"/>
      <c r="W242" s="32"/>
      <c r="X242" s="32"/>
      <c r="Y242" s="32">
        <v>3</v>
      </c>
      <c r="Z242" s="32">
        <v>7</v>
      </c>
      <c r="AA242" s="32">
        <v>12</v>
      </c>
      <c r="AB242" s="21">
        <f t="shared" si="107"/>
        <v>3</v>
      </c>
      <c r="AC242" s="33">
        <f>+AA242/$AA$239</f>
        <v>6.9767441860465115E-3</v>
      </c>
      <c r="AD242" s="109"/>
      <c r="AE242" s="109"/>
      <c r="AF242" s="110" t="e">
        <f>+AB242/$U$235</f>
        <v>#DIV/0!</v>
      </c>
      <c r="AG242" s="109"/>
      <c r="AH242" s="82">
        <v>1</v>
      </c>
    </row>
    <row r="243" spans="1:34" s="11" customFormat="1" x14ac:dyDescent="0.15">
      <c r="A243" s="73" t="s">
        <v>62</v>
      </c>
      <c r="B243" s="73" t="s">
        <v>148</v>
      </c>
      <c r="C243" s="73" t="s">
        <v>178</v>
      </c>
      <c r="D243" s="73" t="s">
        <v>179</v>
      </c>
      <c r="E243" s="73" t="s">
        <v>41</v>
      </c>
      <c r="F243" s="73" t="s">
        <v>42</v>
      </c>
      <c r="G243" s="74">
        <v>48080.7</v>
      </c>
      <c r="H243" s="75"/>
      <c r="I243" s="75">
        <v>48080.7</v>
      </c>
      <c r="J243" s="76"/>
      <c r="K243" s="76"/>
      <c r="L243" s="76"/>
      <c r="M243" s="77"/>
      <c r="N243" s="77"/>
      <c r="O243" s="77"/>
      <c r="P243" s="77"/>
      <c r="Q243" s="77"/>
      <c r="R243" s="77"/>
      <c r="S243" s="78"/>
      <c r="T243" s="78"/>
      <c r="U243" s="78"/>
      <c r="V243" s="78"/>
      <c r="W243" s="32"/>
      <c r="X243" s="32"/>
      <c r="Y243" s="32">
        <v>3</v>
      </c>
      <c r="Z243" s="32">
        <v>6</v>
      </c>
      <c r="AA243" s="32">
        <v>10</v>
      </c>
      <c r="AB243" s="21">
        <f t="shared" si="107"/>
        <v>2.3333333333333335</v>
      </c>
      <c r="AC243" s="33">
        <f t="shared" ref="AC243:AC252" si="108">+AA243/$AA$239</f>
        <v>5.8139534883720929E-3</v>
      </c>
      <c r="AD243" s="109"/>
      <c r="AE243" s="109"/>
      <c r="AF243" s="110" t="e">
        <f t="shared" ref="AF243:AF252" si="109">+AB243/$U$235</f>
        <v>#DIV/0!</v>
      </c>
      <c r="AG243" s="109"/>
      <c r="AH243" s="82">
        <v>1</v>
      </c>
    </row>
    <row r="244" spans="1:34" s="11" customFormat="1" x14ac:dyDescent="0.15">
      <c r="A244" s="73" t="s">
        <v>62</v>
      </c>
      <c r="B244" s="73" t="s">
        <v>148</v>
      </c>
      <c r="C244" s="73" t="s">
        <v>189</v>
      </c>
      <c r="D244" s="73" t="s">
        <v>190</v>
      </c>
      <c r="E244" s="73" t="s">
        <v>41</v>
      </c>
      <c r="F244" s="73" t="s">
        <v>42</v>
      </c>
      <c r="G244" s="74">
        <v>126900.45</v>
      </c>
      <c r="H244" s="75">
        <v>-17831.509999999998</v>
      </c>
      <c r="I244" s="75">
        <v>109068.94</v>
      </c>
      <c r="J244" s="76"/>
      <c r="K244" s="76"/>
      <c r="L244" s="76"/>
      <c r="M244" s="77"/>
      <c r="N244" s="77"/>
      <c r="O244" s="77"/>
      <c r="P244" s="77"/>
      <c r="Q244" s="77"/>
      <c r="R244" s="77"/>
      <c r="S244" s="78"/>
      <c r="T244" s="78"/>
      <c r="U244" s="78"/>
      <c r="V244" s="78"/>
      <c r="W244" s="32"/>
      <c r="X244" s="32"/>
      <c r="Y244" s="32">
        <v>10</v>
      </c>
      <c r="Z244" s="32">
        <v>27</v>
      </c>
      <c r="AA244" s="32">
        <v>28</v>
      </c>
      <c r="AB244" s="21">
        <f t="shared" si="107"/>
        <v>1.8</v>
      </c>
      <c r="AC244" s="33">
        <f t="shared" si="108"/>
        <v>1.627906976744186E-2</v>
      </c>
      <c r="AD244" s="109"/>
      <c r="AE244" s="109"/>
      <c r="AF244" s="110" t="e">
        <f t="shared" si="109"/>
        <v>#DIV/0!</v>
      </c>
      <c r="AG244" s="109"/>
      <c r="AH244" s="82">
        <v>1</v>
      </c>
    </row>
    <row r="245" spans="1:34" s="11" customFormat="1" x14ac:dyDescent="0.15">
      <c r="A245" s="73" t="s">
        <v>62</v>
      </c>
      <c r="B245" s="73" t="s">
        <v>148</v>
      </c>
      <c r="C245" s="73" t="s">
        <v>184</v>
      </c>
      <c r="D245" s="73" t="s">
        <v>185</v>
      </c>
      <c r="E245" s="73" t="s">
        <v>41</v>
      </c>
      <c r="F245" s="73" t="s">
        <v>42</v>
      </c>
      <c r="G245" s="74">
        <v>5189.3999999999996</v>
      </c>
      <c r="H245" s="75"/>
      <c r="I245" s="75">
        <v>5189.3999999999996</v>
      </c>
      <c r="J245" s="76"/>
      <c r="K245" s="76"/>
      <c r="L245" s="76"/>
      <c r="M245" s="77"/>
      <c r="N245" s="77"/>
      <c r="O245" s="77"/>
      <c r="P245" s="77"/>
      <c r="Q245" s="77"/>
      <c r="R245" s="77"/>
      <c r="S245" s="78"/>
      <c r="T245" s="78"/>
      <c r="U245" s="78"/>
      <c r="V245" s="78"/>
      <c r="W245" s="32"/>
      <c r="X245" s="32"/>
      <c r="Y245" s="32">
        <v>1</v>
      </c>
      <c r="Z245" s="32">
        <v>1</v>
      </c>
      <c r="AA245" s="32">
        <v>3</v>
      </c>
      <c r="AB245" s="21">
        <f t="shared" si="107"/>
        <v>2</v>
      </c>
      <c r="AC245" s="33">
        <f t="shared" si="108"/>
        <v>1.7441860465116279E-3</v>
      </c>
      <c r="AD245" s="109"/>
      <c r="AE245" s="109"/>
      <c r="AF245" s="110" t="e">
        <f t="shared" si="109"/>
        <v>#DIV/0!</v>
      </c>
      <c r="AG245" s="109"/>
      <c r="AH245" s="82">
        <v>1</v>
      </c>
    </row>
    <row r="246" spans="1:34" s="11" customFormat="1" x14ac:dyDescent="0.15">
      <c r="A246" s="73" t="s">
        <v>62</v>
      </c>
      <c r="B246" s="73" t="s">
        <v>117</v>
      </c>
      <c r="C246" s="73" t="s">
        <v>131</v>
      </c>
      <c r="D246" s="73" t="s">
        <v>132</v>
      </c>
      <c r="E246" s="73" t="s">
        <v>41</v>
      </c>
      <c r="F246" s="73" t="s">
        <v>42</v>
      </c>
      <c r="G246" s="74">
        <v>1429711.15</v>
      </c>
      <c r="H246" s="75">
        <v>-38641.760000000002</v>
      </c>
      <c r="I246" s="75">
        <v>1391069.39</v>
      </c>
      <c r="J246" s="76"/>
      <c r="K246" s="76"/>
      <c r="L246" s="76"/>
      <c r="M246" s="77"/>
      <c r="N246" s="77"/>
      <c r="O246" s="77"/>
      <c r="P246" s="77"/>
      <c r="Q246" s="77"/>
      <c r="R246" s="77"/>
      <c r="S246" s="78"/>
      <c r="T246" s="78"/>
      <c r="U246" s="78"/>
      <c r="V246" s="78"/>
      <c r="W246" s="32">
        <v>194</v>
      </c>
      <c r="X246" s="32">
        <v>293</v>
      </c>
      <c r="Y246" s="32">
        <v>170</v>
      </c>
      <c r="Z246" s="32">
        <v>221</v>
      </c>
      <c r="AA246" s="32">
        <v>225</v>
      </c>
      <c r="AB246" s="21">
        <f t="shared" ref="AB246:AB248" si="110">+(AA246-W246)/W246</f>
        <v>0.15979381443298968</v>
      </c>
      <c r="AC246" s="33">
        <f t="shared" si="108"/>
        <v>0.1308139534883721</v>
      </c>
      <c r="AD246" s="109"/>
      <c r="AE246" s="109"/>
      <c r="AF246" s="110" t="e">
        <f t="shared" si="109"/>
        <v>#DIV/0!</v>
      </c>
      <c r="AG246" s="109"/>
      <c r="AH246" s="82">
        <v>1</v>
      </c>
    </row>
    <row r="247" spans="1:34" s="11" customFormat="1" x14ac:dyDescent="0.15">
      <c r="A247" s="73" t="s">
        <v>62</v>
      </c>
      <c r="B247" s="73" t="s">
        <v>195</v>
      </c>
      <c r="C247" s="73" t="s">
        <v>275</v>
      </c>
      <c r="D247" s="73" t="s">
        <v>276</v>
      </c>
      <c r="E247" s="73" t="s">
        <v>41</v>
      </c>
      <c r="F247" s="73" t="s">
        <v>42</v>
      </c>
      <c r="G247" s="74">
        <v>3063167</v>
      </c>
      <c r="H247" s="75">
        <v>-148548.17000000001</v>
      </c>
      <c r="I247" s="75">
        <v>2914618.83</v>
      </c>
      <c r="J247" s="76"/>
      <c r="K247" s="76"/>
      <c r="L247" s="76"/>
      <c r="M247" s="77"/>
      <c r="N247" s="77"/>
      <c r="O247" s="77"/>
      <c r="P247" s="77"/>
      <c r="Q247" s="77"/>
      <c r="R247" s="77"/>
      <c r="S247" s="78"/>
      <c r="T247" s="78"/>
      <c r="U247" s="78"/>
      <c r="V247" s="78"/>
      <c r="W247" s="32">
        <v>111</v>
      </c>
      <c r="X247" s="32">
        <v>210</v>
      </c>
      <c r="Y247" s="32">
        <v>330</v>
      </c>
      <c r="Z247" s="32">
        <v>455</v>
      </c>
      <c r="AA247" s="32">
        <v>474</v>
      </c>
      <c r="AB247" s="21">
        <f t="shared" si="110"/>
        <v>3.2702702702702702</v>
      </c>
      <c r="AC247" s="33">
        <f t="shared" si="108"/>
        <v>0.27558139534883719</v>
      </c>
      <c r="AD247" s="109"/>
      <c r="AE247" s="109"/>
      <c r="AF247" s="110" t="e">
        <f t="shared" si="109"/>
        <v>#DIV/0!</v>
      </c>
      <c r="AG247" s="109"/>
      <c r="AH247" s="82">
        <v>1</v>
      </c>
    </row>
    <row r="248" spans="1:34" s="11" customFormat="1" x14ac:dyDescent="0.15">
      <c r="A248" s="73" t="s">
        <v>62</v>
      </c>
      <c r="B248" s="73" t="s">
        <v>117</v>
      </c>
      <c r="C248" s="73" t="s">
        <v>129</v>
      </c>
      <c r="D248" s="73" t="s">
        <v>130</v>
      </c>
      <c r="E248" s="73" t="s">
        <v>41</v>
      </c>
      <c r="F248" s="73" t="s">
        <v>42</v>
      </c>
      <c r="G248" s="74">
        <v>238248</v>
      </c>
      <c r="H248" s="75">
        <v>-7970.55</v>
      </c>
      <c r="I248" s="75">
        <v>230277.45</v>
      </c>
      <c r="J248" s="76"/>
      <c r="K248" s="76"/>
      <c r="L248" s="76"/>
      <c r="M248" s="77"/>
      <c r="N248" s="77"/>
      <c r="O248" s="77"/>
      <c r="P248" s="77"/>
      <c r="Q248" s="77"/>
      <c r="R248" s="77"/>
      <c r="S248" s="78"/>
      <c r="T248" s="78"/>
      <c r="U248" s="78"/>
      <c r="V248" s="78"/>
      <c r="W248" s="32">
        <v>46</v>
      </c>
      <c r="X248" s="32">
        <v>47</v>
      </c>
      <c r="Y248" s="32">
        <v>43</v>
      </c>
      <c r="Z248" s="32">
        <v>52</v>
      </c>
      <c r="AA248" s="32">
        <v>46</v>
      </c>
      <c r="AB248" s="21">
        <f t="shared" si="110"/>
        <v>0</v>
      </c>
      <c r="AC248" s="33">
        <f t="shared" si="108"/>
        <v>2.6744186046511628E-2</v>
      </c>
      <c r="AD248" s="109"/>
      <c r="AE248" s="109"/>
      <c r="AF248" s="110" t="e">
        <f t="shared" si="109"/>
        <v>#DIV/0!</v>
      </c>
      <c r="AG248" s="109"/>
      <c r="AH248" s="82">
        <v>1</v>
      </c>
    </row>
    <row r="249" spans="1:34" s="11" customFormat="1" x14ac:dyDescent="0.15">
      <c r="A249" s="73" t="s">
        <v>62</v>
      </c>
      <c r="B249" s="73" t="s">
        <v>148</v>
      </c>
      <c r="C249" s="73" t="s">
        <v>193</v>
      </c>
      <c r="D249" s="73" t="s">
        <v>194</v>
      </c>
      <c r="E249" s="73" t="s">
        <v>41</v>
      </c>
      <c r="F249" s="73" t="s">
        <v>42</v>
      </c>
      <c r="G249" s="74">
        <v>1955.4</v>
      </c>
      <c r="H249" s="75"/>
      <c r="I249" s="75">
        <v>1955.4</v>
      </c>
      <c r="J249" s="76"/>
      <c r="K249" s="76"/>
      <c r="L249" s="76"/>
      <c r="M249" s="77"/>
      <c r="N249" s="77"/>
      <c r="O249" s="77"/>
      <c r="P249" s="77"/>
      <c r="Q249" s="77"/>
      <c r="R249" s="77"/>
      <c r="S249" s="78"/>
      <c r="T249" s="78"/>
      <c r="U249" s="78"/>
      <c r="V249" s="78"/>
      <c r="W249" s="32"/>
      <c r="X249" s="32"/>
      <c r="Y249" s="32"/>
      <c r="Z249" s="32"/>
      <c r="AA249" s="32">
        <v>1</v>
      </c>
      <c r="AB249" s="22"/>
      <c r="AC249" s="33">
        <f t="shared" si="108"/>
        <v>5.8139534883720929E-4</v>
      </c>
      <c r="AD249" s="109"/>
      <c r="AE249" s="109"/>
      <c r="AF249" s="110" t="e">
        <f t="shared" si="109"/>
        <v>#DIV/0!</v>
      </c>
      <c r="AG249" s="109"/>
      <c r="AH249" s="82">
        <v>1</v>
      </c>
    </row>
    <row r="250" spans="1:34" s="11" customFormat="1" x14ac:dyDescent="0.15">
      <c r="A250" s="73" t="s">
        <v>321</v>
      </c>
      <c r="B250" s="73" t="s">
        <v>322</v>
      </c>
      <c r="C250" s="73" t="s">
        <v>381</v>
      </c>
      <c r="D250" s="73" t="s">
        <v>382</v>
      </c>
      <c r="E250" s="73" t="s">
        <v>41</v>
      </c>
      <c r="F250" s="73" t="s">
        <v>42</v>
      </c>
      <c r="G250" s="74">
        <v>4306777.9800000004</v>
      </c>
      <c r="H250" s="75">
        <v>-1003400.0325</v>
      </c>
      <c r="I250" s="75">
        <v>3303377.9474999998</v>
      </c>
      <c r="J250" s="76"/>
      <c r="K250" s="76"/>
      <c r="L250" s="76"/>
      <c r="M250" s="77"/>
      <c r="N250" s="77"/>
      <c r="O250" s="77"/>
      <c r="P250" s="77"/>
      <c r="Q250" s="77"/>
      <c r="R250" s="77"/>
      <c r="S250" s="78"/>
      <c r="T250" s="78"/>
      <c r="U250" s="78"/>
      <c r="V250" s="78"/>
      <c r="W250" s="25">
        <v>708</v>
      </c>
      <c r="X250" s="25">
        <v>685</v>
      </c>
      <c r="Y250" s="32">
        <v>617</v>
      </c>
      <c r="Z250" s="32">
        <v>607</v>
      </c>
      <c r="AA250" s="32">
        <v>563</v>
      </c>
      <c r="AB250" s="21">
        <f t="shared" ref="AB250:AB251" si="111">+(AA250-W250)/W250</f>
        <v>-0.20480225988700565</v>
      </c>
      <c r="AC250" s="33">
        <f t="shared" si="108"/>
        <v>0.32732558139534884</v>
      </c>
      <c r="AD250" s="109"/>
      <c r="AE250" s="109"/>
      <c r="AF250" s="110" t="e">
        <f t="shared" si="109"/>
        <v>#DIV/0!</v>
      </c>
      <c r="AG250" s="109"/>
      <c r="AH250" s="82">
        <v>1</v>
      </c>
    </row>
    <row r="251" spans="1:34" s="11" customFormat="1" x14ac:dyDescent="0.15">
      <c r="A251" s="73" t="s">
        <v>321</v>
      </c>
      <c r="B251" s="73" t="s">
        <v>322</v>
      </c>
      <c r="C251" s="73" t="s">
        <v>412</v>
      </c>
      <c r="D251" s="73" t="s">
        <v>413</v>
      </c>
      <c r="E251" s="73" t="s">
        <v>41</v>
      </c>
      <c r="F251" s="73" t="s">
        <v>42</v>
      </c>
      <c r="G251" s="74">
        <v>2234838.85</v>
      </c>
      <c r="H251" s="75">
        <v>-388346.69</v>
      </c>
      <c r="I251" s="75">
        <v>1846492.1599999999</v>
      </c>
      <c r="J251" s="76"/>
      <c r="K251" s="76"/>
      <c r="L251" s="76"/>
      <c r="M251" s="77"/>
      <c r="N251" s="77"/>
      <c r="O251" s="77"/>
      <c r="P251" s="77"/>
      <c r="Q251" s="77"/>
      <c r="R251" s="77"/>
      <c r="S251" s="78"/>
      <c r="T251" s="78"/>
      <c r="U251" s="78"/>
      <c r="V251" s="78"/>
      <c r="W251" s="25">
        <v>525</v>
      </c>
      <c r="X251" s="25">
        <v>448</v>
      </c>
      <c r="Y251" s="32">
        <v>385</v>
      </c>
      <c r="Z251" s="32">
        <v>348</v>
      </c>
      <c r="AA251" s="32">
        <v>321</v>
      </c>
      <c r="AB251" s="21">
        <f t="shared" si="111"/>
        <v>-0.38857142857142857</v>
      </c>
      <c r="AC251" s="33">
        <f t="shared" si="108"/>
        <v>0.1866279069767442</v>
      </c>
      <c r="AD251" s="109"/>
      <c r="AE251" s="109"/>
      <c r="AF251" s="110" t="e">
        <f t="shared" si="109"/>
        <v>#DIV/0!</v>
      </c>
      <c r="AG251" s="109"/>
      <c r="AH251" s="82">
        <v>1</v>
      </c>
    </row>
    <row r="252" spans="1:34" s="11" customFormat="1" x14ac:dyDescent="0.15">
      <c r="A252" s="73" t="s">
        <v>321</v>
      </c>
      <c r="B252" s="73" t="s">
        <v>322</v>
      </c>
      <c r="C252" s="73" t="s">
        <v>430</v>
      </c>
      <c r="D252" s="73" t="s">
        <v>431</v>
      </c>
      <c r="E252" s="73" t="s">
        <v>41</v>
      </c>
      <c r="F252" s="73" t="s">
        <v>42</v>
      </c>
      <c r="G252" s="74">
        <v>227623.3</v>
      </c>
      <c r="H252" s="75">
        <v>-36483.26</v>
      </c>
      <c r="I252" s="75">
        <v>191140.04</v>
      </c>
      <c r="J252" s="76"/>
      <c r="K252" s="76"/>
      <c r="L252" s="76"/>
      <c r="M252" s="77"/>
      <c r="N252" s="77"/>
      <c r="O252" s="77"/>
      <c r="P252" s="77"/>
      <c r="Q252" s="77"/>
      <c r="R252" s="77"/>
      <c r="S252" s="78"/>
      <c r="T252" s="78"/>
      <c r="U252" s="78"/>
      <c r="V252" s="78"/>
      <c r="W252" s="32"/>
      <c r="X252" s="32"/>
      <c r="Y252" s="32">
        <v>8</v>
      </c>
      <c r="Z252" s="32">
        <v>22</v>
      </c>
      <c r="AA252" s="32">
        <v>30</v>
      </c>
      <c r="AB252" s="21">
        <f>+(AA252-Y252)/Y252</f>
        <v>2.75</v>
      </c>
      <c r="AC252" s="33">
        <f t="shared" si="108"/>
        <v>1.7441860465116279E-2</v>
      </c>
      <c r="AD252" s="109"/>
      <c r="AE252" s="109"/>
      <c r="AF252" s="110" t="e">
        <f t="shared" si="109"/>
        <v>#DIV/0!</v>
      </c>
      <c r="AG252" s="109"/>
      <c r="AH252" s="82">
        <v>1</v>
      </c>
    </row>
    <row r="253" spans="1:34" s="11" customFormat="1" x14ac:dyDescent="0.15">
      <c r="A253" s="67"/>
      <c r="B253" s="67" t="s">
        <v>0</v>
      </c>
      <c r="C253" s="67" t="s">
        <v>0</v>
      </c>
      <c r="D253" s="67" t="s">
        <v>0</v>
      </c>
      <c r="E253" s="67" t="s">
        <v>46</v>
      </c>
      <c r="F253" s="67" t="s">
        <v>47</v>
      </c>
      <c r="G253" s="68">
        <v>16374685.74</v>
      </c>
      <c r="H253" s="69">
        <v>-1666477.15</v>
      </c>
      <c r="I253" s="69">
        <v>14708208.59</v>
      </c>
      <c r="J253" s="69">
        <v>14340484.68</v>
      </c>
      <c r="K253" s="69">
        <v>-1350971.4652678899</v>
      </c>
      <c r="L253" s="69">
        <f>+J253+K253</f>
        <v>12989513.214732111</v>
      </c>
      <c r="M253" s="70">
        <f>-7142081.44</f>
        <v>-7142081.4400000004</v>
      </c>
      <c r="N253" s="70">
        <v>-41446.43</v>
      </c>
      <c r="O253" s="70">
        <v>-292001.02</v>
      </c>
      <c r="P253" s="70">
        <v>-385138.66</v>
      </c>
      <c r="Q253" s="70"/>
      <c r="R253" s="70">
        <f>+Q253+M253</f>
        <v>-7142081.4400000004</v>
      </c>
      <c r="S253" s="104">
        <f>+I253+R253</f>
        <v>7566127.1499999994</v>
      </c>
      <c r="T253" s="104">
        <f>+L253+R253</f>
        <v>5847431.7747321101</v>
      </c>
      <c r="U253" s="104">
        <f>+I253+M253</f>
        <v>7566127.1499999994</v>
      </c>
      <c r="V253" s="104">
        <f>+L253+M253</f>
        <v>5847431.7747321101</v>
      </c>
      <c r="W253" s="71">
        <f>SUM(W254:W257)</f>
        <v>597</v>
      </c>
      <c r="X253" s="71">
        <f t="shared" ref="X253:AA253" si="112">SUM(X254:X257)</f>
        <v>612</v>
      </c>
      <c r="Y253" s="71">
        <f t="shared" si="112"/>
        <v>634</v>
      </c>
      <c r="Z253" s="71">
        <f>SUM(Z254:Z257)</f>
        <v>650</v>
      </c>
      <c r="AA253" s="71">
        <f t="shared" si="112"/>
        <v>626</v>
      </c>
      <c r="AB253" s="72">
        <f>+(AA253-W253)/W253</f>
        <v>4.8576214405360134E-2</v>
      </c>
      <c r="AD253" s="107"/>
      <c r="AE253" s="107"/>
      <c r="AF253" s="108"/>
      <c r="AG253" s="107"/>
      <c r="AH253" s="81">
        <v>1</v>
      </c>
    </row>
    <row r="254" spans="1:34" s="11" customFormat="1" x14ac:dyDescent="0.15">
      <c r="A254" s="73" t="s">
        <v>62</v>
      </c>
      <c r="B254" s="73" t="s">
        <v>63</v>
      </c>
      <c r="C254" s="73" t="s">
        <v>103</v>
      </c>
      <c r="D254" s="73" t="s">
        <v>104</v>
      </c>
      <c r="E254" s="73" t="s">
        <v>46</v>
      </c>
      <c r="F254" s="73" t="s">
        <v>47</v>
      </c>
      <c r="G254" s="74">
        <v>19868.900000000001</v>
      </c>
      <c r="H254" s="75">
        <v>-20078.3</v>
      </c>
      <c r="I254" s="75">
        <v>-209.4</v>
      </c>
      <c r="J254" s="76"/>
      <c r="K254" s="76"/>
      <c r="L254" s="76"/>
      <c r="M254" s="77"/>
      <c r="N254" s="77"/>
      <c r="O254" s="77"/>
      <c r="P254" s="77"/>
      <c r="Q254" s="77"/>
      <c r="R254" s="77"/>
      <c r="S254" s="78"/>
      <c r="T254" s="78"/>
      <c r="U254" s="78"/>
      <c r="V254" s="78"/>
      <c r="W254" s="32">
        <v>17</v>
      </c>
      <c r="X254" s="32">
        <v>16</v>
      </c>
      <c r="Y254" s="32">
        <v>10</v>
      </c>
      <c r="Z254" s="32">
        <v>8</v>
      </c>
      <c r="AA254" s="32">
        <v>3</v>
      </c>
      <c r="AB254" s="21">
        <f>+(AA254-W254)/W254</f>
        <v>-0.82352941176470584</v>
      </c>
      <c r="AC254" s="33">
        <f>+AA254/AA253</f>
        <v>4.7923322683706068E-3</v>
      </c>
      <c r="AD254" s="109"/>
      <c r="AE254" s="109"/>
      <c r="AF254" s="110">
        <f>+AB254/AB253</f>
        <v>-16.953346855983771</v>
      </c>
      <c r="AG254" s="109"/>
      <c r="AH254" s="82">
        <v>2</v>
      </c>
    </row>
    <row r="255" spans="1:34" s="11" customFormat="1" x14ac:dyDescent="0.15">
      <c r="A255" s="73" t="s">
        <v>62</v>
      </c>
      <c r="B255" s="73" t="s">
        <v>63</v>
      </c>
      <c r="C255" s="73" t="s">
        <v>101</v>
      </c>
      <c r="D255" s="73" t="s">
        <v>102</v>
      </c>
      <c r="E255" s="73" t="s">
        <v>46</v>
      </c>
      <c r="F255" s="73" t="s">
        <v>47</v>
      </c>
      <c r="G255" s="74">
        <v>308951.03000000003</v>
      </c>
      <c r="H255" s="75">
        <v>-259307.34</v>
      </c>
      <c r="I255" s="75">
        <v>49643.69</v>
      </c>
      <c r="J255" s="76"/>
      <c r="K255" s="76"/>
      <c r="L255" s="76"/>
      <c r="M255" s="77"/>
      <c r="N255" s="77"/>
      <c r="O255" s="77"/>
      <c r="P255" s="77"/>
      <c r="Q255" s="77"/>
      <c r="R255" s="77"/>
      <c r="S255" s="78"/>
      <c r="T255" s="78"/>
      <c r="U255" s="78"/>
      <c r="V255" s="78"/>
      <c r="W255" s="32">
        <v>35</v>
      </c>
      <c r="X255" s="32">
        <v>36</v>
      </c>
      <c r="Y255" s="32">
        <v>37</v>
      </c>
      <c r="Z255" s="32">
        <v>42</v>
      </c>
      <c r="AA255" s="32">
        <v>37</v>
      </c>
      <c r="AB255" s="21">
        <f t="shared" ref="AB255:AB257" si="113">+(AA255-W255)/W255</f>
        <v>5.7142857142857141E-2</v>
      </c>
      <c r="AC255" s="33">
        <f>+AA255/AA253</f>
        <v>5.9105431309904151E-2</v>
      </c>
      <c r="AD255" s="109"/>
      <c r="AE255" s="109"/>
      <c r="AF255" s="110">
        <f>+AB255/AB253</f>
        <v>1.1763546798029556</v>
      </c>
      <c r="AG255" s="109"/>
      <c r="AH255" s="82">
        <v>1</v>
      </c>
    </row>
    <row r="256" spans="1:34" s="11" customFormat="1" x14ac:dyDescent="0.15">
      <c r="A256" s="73" t="s">
        <v>319</v>
      </c>
      <c r="B256" s="73" t="s">
        <v>59</v>
      </c>
      <c r="C256" s="73" t="s">
        <v>320</v>
      </c>
      <c r="D256" s="73" t="s">
        <v>320</v>
      </c>
      <c r="E256" s="73" t="s">
        <v>46</v>
      </c>
      <c r="F256" s="73" t="s">
        <v>47</v>
      </c>
      <c r="G256" s="74">
        <v>13390461.390000001</v>
      </c>
      <c r="H256" s="75">
        <v>-1025479.11</v>
      </c>
      <c r="I256" s="75">
        <v>12364982.279999999</v>
      </c>
      <c r="J256" s="76"/>
      <c r="K256" s="76"/>
      <c r="L256" s="76"/>
      <c r="M256" s="77"/>
      <c r="N256" s="77"/>
      <c r="O256" s="77"/>
      <c r="P256" s="77"/>
      <c r="Q256" s="77"/>
      <c r="R256" s="77"/>
      <c r="S256" s="78"/>
      <c r="T256" s="78"/>
      <c r="U256" s="78"/>
      <c r="V256" s="78"/>
      <c r="W256" s="32">
        <v>447</v>
      </c>
      <c r="X256" s="32">
        <v>458</v>
      </c>
      <c r="Y256" s="32">
        <v>481</v>
      </c>
      <c r="Z256" s="32">
        <v>498</v>
      </c>
      <c r="AA256" s="32">
        <v>487</v>
      </c>
      <c r="AB256" s="21">
        <f t="shared" si="113"/>
        <v>8.9485458612975396E-2</v>
      </c>
      <c r="AC256" s="33">
        <f>+AA256/AA253</f>
        <v>0.77795527156549515</v>
      </c>
      <c r="AD256" s="109"/>
      <c r="AE256" s="109"/>
      <c r="AF256" s="110">
        <f>+AB256/AB253</f>
        <v>1.842166165239528</v>
      </c>
      <c r="AG256" s="109"/>
      <c r="AH256" s="82">
        <v>1</v>
      </c>
    </row>
    <row r="257" spans="1:34" s="11" customFormat="1" x14ac:dyDescent="0.15">
      <c r="A257" s="73" t="s">
        <v>321</v>
      </c>
      <c r="B257" s="73" t="s">
        <v>322</v>
      </c>
      <c r="C257" s="73" t="s">
        <v>418</v>
      </c>
      <c r="D257" s="73" t="s">
        <v>419</v>
      </c>
      <c r="E257" s="73" t="s">
        <v>46</v>
      </c>
      <c r="F257" s="73" t="s">
        <v>47</v>
      </c>
      <c r="G257" s="74">
        <v>2655404.42</v>
      </c>
      <c r="H257" s="75">
        <v>-361612.4</v>
      </c>
      <c r="I257" s="75">
        <v>2293792.02</v>
      </c>
      <c r="J257" s="76"/>
      <c r="K257" s="76"/>
      <c r="L257" s="76"/>
      <c r="M257" s="77"/>
      <c r="N257" s="77"/>
      <c r="O257" s="77"/>
      <c r="P257" s="77"/>
      <c r="Q257" s="77"/>
      <c r="R257" s="77"/>
      <c r="S257" s="78"/>
      <c r="T257" s="78"/>
      <c r="U257" s="78"/>
      <c r="V257" s="78"/>
      <c r="W257" s="25">
        <v>98</v>
      </c>
      <c r="X257" s="25">
        <v>102</v>
      </c>
      <c r="Y257" s="32">
        <v>106</v>
      </c>
      <c r="Z257" s="32">
        <v>102</v>
      </c>
      <c r="AA257" s="32">
        <v>99</v>
      </c>
      <c r="AB257" s="21">
        <f t="shared" si="113"/>
        <v>1.020408163265306E-2</v>
      </c>
      <c r="AC257" s="33">
        <f>+AA257/AA253</f>
        <v>0.15814696485623003</v>
      </c>
      <c r="AD257" s="109"/>
      <c r="AE257" s="109"/>
      <c r="AF257" s="110">
        <f>+AB257/AB253</f>
        <v>0.21006333567909921</v>
      </c>
      <c r="AG257" s="109"/>
      <c r="AH257" s="82">
        <v>1</v>
      </c>
    </row>
    <row r="258" spans="1:34" s="11" customFormat="1" x14ac:dyDescent="0.15">
      <c r="A258" s="67"/>
      <c r="B258" s="67" t="s">
        <v>0</v>
      </c>
      <c r="C258" s="67" t="s">
        <v>0</v>
      </c>
      <c r="D258" s="67" t="s">
        <v>0</v>
      </c>
      <c r="E258" s="67" t="s">
        <v>513</v>
      </c>
      <c r="F258" s="67" t="s">
        <v>57</v>
      </c>
      <c r="G258" s="68">
        <v>1168082.78</v>
      </c>
      <c r="H258" s="69">
        <v>-137839.7225</v>
      </c>
      <c r="I258" s="69">
        <v>1030243.0575</v>
      </c>
      <c r="J258" s="69">
        <v>197415.95</v>
      </c>
      <c r="K258" s="69">
        <v>-19936.855543623002</v>
      </c>
      <c r="L258" s="69">
        <f>+J258+K258</f>
        <v>177479.094456377</v>
      </c>
      <c r="M258" s="70">
        <f>-43850.77-188392.38</f>
        <v>-232243.15</v>
      </c>
      <c r="N258" s="70"/>
      <c r="O258" s="70">
        <v>-178875.71</v>
      </c>
      <c r="P258" s="70"/>
      <c r="Q258" s="70">
        <v>-44160.78</v>
      </c>
      <c r="R258" s="70">
        <f>+Q258+M258</f>
        <v>-276403.93</v>
      </c>
      <c r="S258" s="104">
        <f>+I258+R258</f>
        <v>753839.12749999994</v>
      </c>
      <c r="T258" s="104">
        <f>+L258+R258</f>
        <v>-98924.83554362299</v>
      </c>
      <c r="U258" s="104">
        <f>+I258+M258</f>
        <v>797999.90749999997</v>
      </c>
      <c r="V258" s="104">
        <f>+L258+M258</f>
        <v>-54764.055543622992</v>
      </c>
      <c r="W258" s="71">
        <f>+W259</f>
        <v>185</v>
      </c>
      <c r="X258" s="71">
        <f>+X259</f>
        <v>180</v>
      </c>
      <c r="Y258" s="71">
        <f t="shared" ref="Y258:AA258" si="114">+Y259</f>
        <v>162</v>
      </c>
      <c r="Z258" s="71">
        <f t="shared" si="114"/>
        <v>183</v>
      </c>
      <c r="AA258" s="71">
        <f t="shared" si="114"/>
        <v>133</v>
      </c>
      <c r="AB258" s="72">
        <f>+(AA258-W258)/W258</f>
        <v>-0.2810810810810811</v>
      </c>
      <c r="AD258" s="107"/>
      <c r="AE258" s="107"/>
      <c r="AF258" s="108"/>
      <c r="AG258" s="107" t="s">
        <v>520</v>
      </c>
      <c r="AH258" s="81" t="s">
        <v>518</v>
      </c>
    </row>
    <row r="259" spans="1:34" s="11" customFormat="1" x14ac:dyDescent="0.15">
      <c r="A259" s="73" t="s">
        <v>321</v>
      </c>
      <c r="B259" s="73" t="s">
        <v>322</v>
      </c>
      <c r="C259" s="73" t="s">
        <v>369</v>
      </c>
      <c r="D259" s="73" t="s">
        <v>370</v>
      </c>
      <c r="E259" s="73" t="s">
        <v>57</v>
      </c>
      <c r="F259" s="73" t="s">
        <v>57</v>
      </c>
      <c r="G259" s="74">
        <v>1168082.78</v>
      </c>
      <c r="H259" s="75">
        <v>-137839.7225</v>
      </c>
      <c r="I259" s="75">
        <v>1030243.0575</v>
      </c>
      <c r="J259" s="76"/>
      <c r="K259" s="76"/>
      <c r="L259" s="76"/>
      <c r="M259" s="101"/>
      <c r="N259" s="101"/>
      <c r="O259" s="101"/>
      <c r="P259" s="101"/>
      <c r="Q259" s="101"/>
      <c r="R259" s="101"/>
      <c r="S259" s="102"/>
      <c r="T259" s="78"/>
      <c r="U259" s="78"/>
      <c r="V259" s="78"/>
      <c r="W259" s="25">
        <v>185</v>
      </c>
      <c r="X259" s="25">
        <v>180</v>
      </c>
      <c r="Y259" s="32">
        <v>162</v>
      </c>
      <c r="Z259" s="32">
        <v>183</v>
      </c>
      <c r="AA259" s="32">
        <v>133</v>
      </c>
      <c r="AB259" s="10"/>
      <c r="AC259" s="33"/>
      <c r="AD259" s="109"/>
      <c r="AE259" s="109"/>
      <c r="AF259" s="110"/>
      <c r="AG259" s="109" t="s">
        <v>520</v>
      </c>
      <c r="AH259" s="82" t="s">
        <v>518</v>
      </c>
    </row>
    <row r="261" spans="1:34" x14ac:dyDescent="0.15">
      <c r="H261" s="12"/>
      <c r="I261" s="12"/>
      <c r="J261" s="45">
        <f>SUM(J2:J258)</f>
        <v>168152636.08999997</v>
      </c>
      <c r="K261" s="45">
        <f>SUM(K2:K258)</f>
        <v>-28919772.765234597</v>
      </c>
      <c r="M261" s="12"/>
      <c r="N261" s="12"/>
      <c r="O261" s="12"/>
      <c r="P261" s="12"/>
      <c r="Q261" s="12"/>
      <c r="R261" s="12"/>
    </row>
  </sheetData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Fin_Headcount Data</vt:lpstr>
      <vt:lpstr>Scoring Guidance_Notes</vt:lpstr>
      <vt:lpstr>Program Scores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Heckathorn, Jeff</dc:creator>
  <cp:keywords/>
  <dc:description/>
  <cp:lastModifiedBy>Microsoft Office User</cp:lastModifiedBy>
  <dcterms:created xsi:type="dcterms:W3CDTF">2020-09-05T14:02:49Z</dcterms:created>
  <dcterms:modified xsi:type="dcterms:W3CDTF">2020-12-17T23:48:12Z</dcterms:modified>
  <cp:category/>
  <cp:contentStatus/>
</cp:coreProperties>
</file>