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drawings/drawing3.xml" ContentType="application/vnd.openxmlformats-officedocument.drawing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drawings/drawing4.xml" ContentType="application/vnd.openxmlformats-officedocument.drawing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drawings/drawing5.xml" ContentType="application/vnd.openxmlformats-officedocument.drawing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drawings/drawing6.xml" ContentType="application/vnd.openxmlformats-officedocument.drawing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drawings/drawing7.xml" ContentType="application/vnd.openxmlformats-officedocument.drawing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drawings/drawing8.xml" ContentType="application/vnd.openxmlformats-officedocument.drawing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drawings/drawing9.xml" ContentType="application/vnd.openxmlformats-officedocument.drawing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drawings/drawing10.xml" ContentType="application/vnd.openxmlformats-officedocument.drawing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drawings/drawing11.xml" ContentType="application/vnd.openxmlformats-officedocument.drawing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drawings/drawing12.xml" ContentType="application/vnd.openxmlformats-officedocument.drawing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https://mailmissouri-my.sharepoint.com/personal/amzbgf_umsystem_edu/Documents/Marketing/"/>
    </mc:Choice>
  </mc:AlternateContent>
  <xr:revisionPtr revIDLastSave="0" documentId="8_{91B64313-3D95-47C4-89B9-9A28710A528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January" sheetId="1" r:id="rId1"/>
    <sheet name="February" sheetId="14" r:id="rId2"/>
    <sheet name="March" sheetId="15" r:id="rId3"/>
    <sheet name="April" sheetId="16" r:id="rId4"/>
    <sheet name="May" sheetId="17" r:id="rId5"/>
    <sheet name="June" sheetId="19" r:id="rId6"/>
    <sheet name="July" sheetId="20" r:id="rId7"/>
    <sheet name="August" sheetId="22" r:id="rId8"/>
    <sheet name="September" sheetId="21" r:id="rId9"/>
    <sheet name="October" sheetId="23" r:id="rId10"/>
    <sheet name="November" sheetId="24" r:id="rId11"/>
    <sheet name="December" sheetId="25" r:id="rId1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25" l="1"/>
  <c r="C65" i="25"/>
  <c r="E64" i="25"/>
  <c r="E63" i="25"/>
  <c r="E62" i="25"/>
  <c r="E61" i="25"/>
  <c r="E65" i="25" s="1"/>
  <c r="E60" i="25"/>
  <c r="E59" i="25"/>
  <c r="E58" i="25"/>
  <c r="E55" i="25"/>
  <c r="D55" i="25"/>
  <c r="C55" i="25"/>
  <c r="E54" i="25"/>
  <c r="E53" i="25"/>
  <c r="E52" i="25"/>
  <c r="I51" i="25"/>
  <c r="H51" i="25"/>
  <c r="E51" i="25"/>
  <c r="J50" i="25"/>
  <c r="E50" i="25"/>
  <c r="J49" i="25"/>
  <c r="J48" i="25"/>
  <c r="J51" i="25" s="1"/>
  <c r="D47" i="25"/>
  <c r="C47" i="25"/>
  <c r="E46" i="25"/>
  <c r="I45" i="25"/>
  <c r="H45" i="25"/>
  <c r="E45" i="25"/>
  <c r="J44" i="25"/>
  <c r="E44" i="25"/>
  <c r="E47" i="25" s="1"/>
  <c r="J43" i="25"/>
  <c r="J42" i="25"/>
  <c r="J45" i="25" s="1"/>
  <c r="E41" i="25"/>
  <c r="D41" i="25"/>
  <c r="C41" i="25"/>
  <c r="E40" i="25"/>
  <c r="I39" i="25"/>
  <c r="H39" i="25"/>
  <c r="E39" i="25"/>
  <c r="J38" i="25"/>
  <c r="E38" i="25"/>
  <c r="J37" i="25"/>
  <c r="E37" i="25"/>
  <c r="J36" i="25"/>
  <c r="J35" i="25"/>
  <c r="J39" i="25" s="1"/>
  <c r="D34" i="25"/>
  <c r="J55" i="25" s="1"/>
  <c r="J7" i="25" s="1"/>
  <c r="C34" i="25"/>
  <c r="E33" i="25"/>
  <c r="I32" i="25"/>
  <c r="H32" i="25"/>
  <c r="E32" i="25"/>
  <c r="J31" i="25"/>
  <c r="E31" i="25"/>
  <c r="J30" i="25"/>
  <c r="E30" i="25"/>
  <c r="J29" i="25"/>
  <c r="E29" i="25"/>
  <c r="E34" i="25" s="1"/>
  <c r="J28" i="25"/>
  <c r="E28" i="25"/>
  <c r="J27" i="25"/>
  <c r="J32" i="25" s="1"/>
  <c r="E27" i="25"/>
  <c r="J26" i="25"/>
  <c r="D24" i="25"/>
  <c r="C24" i="25"/>
  <c r="J53" i="25" s="1"/>
  <c r="J4" i="25" s="1"/>
  <c r="I23" i="25"/>
  <c r="H23" i="25"/>
  <c r="E23" i="25"/>
  <c r="J22" i="25"/>
  <c r="E22" i="25"/>
  <c r="J21" i="25"/>
  <c r="E21" i="25"/>
  <c r="J20" i="25"/>
  <c r="E20" i="25"/>
  <c r="J19" i="25"/>
  <c r="E19" i="25"/>
  <c r="J18" i="25"/>
  <c r="E18" i="25"/>
  <c r="J17" i="25"/>
  <c r="E17" i="25"/>
  <c r="J16" i="25"/>
  <c r="E16" i="25"/>
  <c r="J15" i="25"/>
  <c r="J23" i="25" s="1"/>
  <c r="E15" i="25"/>
  <c r="J14" i="25"/>
  <c r="E14" i="25"/>
  <c r="E24" i="25" s="1"/>
  <c r="E11" i="25"/>
  <c r="E7" i="25"/>
  <c r="D65" i="24"/>
  <c r="C65" i="24"/>
  <c r="E64" i="24"/>
  <c r="E63" i="24"/>
  <c r="E62" i="24"/>
  <c r="E61" i="24"/>
  <c r="E65" i="24" s="1"/>
  <c r="E60" i="24"/>
  <c r="E59" i="24"/>
  <c r="E58" i="24"/>
  <c r="J55" i="24"/>
  <c r="D55" i="24"/>
  <c r="C55" i="24"/>
  <c r="E54" i="24"/>
  <c r="E53" i="24"/>
  <c r="E52" i="24"/>
  <c r="I51" i="24"/>
  <c r="H51" i="24"/>
  <c r="E51" i="24"/>
  <c r="J50" i="24"/>
  <c r="E50" i="24"/>
  <c r="E55" i="24" s="1"/>
  <c r="J49" i="24"/>
  <c r="J48" i="24"/>
  <c r="J51" i="24" s="1"/>
  <c r="D47" i="24"/>
  <c r="C47" i="24"/>
  <c r="E46" i="24"/>
  <c r="I45" i="24"/>
  <c r="H45" i="24"/>
  <c r="E45" i="24"/>
  <c r="J44" i="24"/>
  <c r="E44" i="24"/>
  <c r="E47" i="24" s="1"/>
  <c r="J43" i="24"/>
  <c r="J45" i="24" s="1"/>
  <c r="J42" i="24"/>
  <c r="D41" i="24"/>
  <c r="C41" i="24"/>
  <c r="J53" i="24" s="1"/>
  <c r="J4" i="24" s="1"/>
  <c r="E40" i="24"/>
  <c r="I39" i="24"/>
  <c r="H39" i="24"/>
  <c r="E39" i="24"/>
  <c r="J38" i="24"/>
  <c r="E38" i="24"/>
  <c r="J37" i="24"/>
  <c r="E37" i="24"/>
  <c r="E41" i="24" s="1"/>
  <c r="J36" i="24"/>
  <c r="J35" i="24"/>
  <c r="J39" i="24" s="1"/>
  <c r="E34" i="24"/>
  <c r="D34" i="24"/>
  <c r="C34" i="24"/>
  <c r="E33" i="24"/>
  <c r="I32" i="24"/>
  <c r="H32" i="24"/>
  <c r="E32" i="24"/>
  <c r="J31" i="24"/>
  <c r="E31" i="24"/>
  <c r="J30" i="24"/>
  <c r="E30" i="24"/>
  <c r="J29" i="24"/>
  <c r="E29" i="24"/>
  <c r="J28" i="24"/>
  <c r="E28" i="24"/>
  <c r="J27" i="24"/>
  <c r="E27" i="24"/>
  <c r="J26" i="24"/>
  <c r="J32" i="24" s="1"/>
  <c r="D24" i="24"/>
  <c r="C24" i="24"/>
  <c r="I23" i="24"/>
  <c r="H23" i="24"/>
  <c r="E23" i="24"/>
  <c r="J22" i="24"/>
  <c r="E22" i="24"/>
  <c r="J21" i="24"/>
  <c r="E21" i="24"/>
  <c r="J20" i="24"/>
  <c r="E20" i="24"/>
  <c r="J19" i="24"/>
  <c r="E19" i="24"/>
  <c r="J18" i="24"/>
  <c r="E18" i="24"/>
  <c r="J17" i="24"/>
  <c r="E17" i="24"/>
  <c r="J16" i="24"/>
  <c r="E16" i="24"/>
  <c r="J15" i="24"/>
  <c r="E15" i="24"/>
  <c r="J14" i="24"/>
  <c r="J23" i="24" s="1"/>
  <c r="E14" i="24"/>
  <c r="E24" i="24" s="1"/>
  <c r="E11" i="24"/>
  <c r="J7" i="24" s="1"/>
  <c r="J10" i="24" s="1"/>
  <c r="E7" i="24"/>
  <c r="D65" i="23"/>
  <c r="C65" i="23"/>
  <c r="E64" i="23"/>
  <c r="E63" i="23"/>
  <c r="E62" i="23"/>
  <c r="E61" i="23"/>
  <c r="E60" i="23"/>
  <c r="E59" i="23"/>
  <c r="E65" i="23" s="1"/>
  <c r="E58" i="23"/>
  <c r="D55" i="23"/>
  <c r="C55" i="23"/>
  <c r="E54" i="23"/>
  <c r="E53" i="23"/>
  <c r="E52" i="23"/>
  <c r="I51" i="23"/>
  <c r="H51" i="23"/>
  <c r="E51" i="23"/>
  <c r="J50" i="23"/>
  <c r="E50" i="23"/>
  <c r="E55" i="23" s="1"/>
  <c r="J49" i="23"/>
  <c r="J48" i="23"/>
  <c r="J51" i="23" s="1"/>
  <c r="D47" i="23"/>
  <c r="C47" i="23"/>
  <c r="E46" i="23"/>
  <c r="I45" i="23"/>
  <c r="H45" i="23"/>
  <c r="E45" i="23"/>
  <c r="J44" i="23"/>
  <c r="E44" i="23"/>
  <c r="E47" i="23" s="1"/>
  <c r="J43" i="23"/>
  <c r="J42" i="23"/>
  <c r="J45" i="23" s="1"/>
  <c r="D41" i="23"/>
  <c r="C41" i="23"/>
  <c r="E40" i="23"/>
  <c r="I39" i="23"/>
  <c r="H39" i="23"/>
  <c r="E39" i="23"/>
  <c r="J38" i="23"/>
  <c r="E38" i="23"/>
  <c r="J37" i="23"/>
  <c r="J39" i="23" s="1"/>
  <c r="E37" i="23"/>
  <c r="E41" i="23" s="1"/>
  <c r="J36" i="23"/>
  <c r="J35" i="23"/>
  <c r="D34" i="23"/>
  <c r="C34" i="23"/>
  <c r="E33" i="23"/>
  <c r="I32" i="23"/>
  <c r="H32" i="23"/>
  <c r="E32" i="23"/>
  <c r="J31" i="23"/>
  <c r="E31" i="23"/>
  <c r="J30" i="23"/>
  <c r="E30" i="23"/>
  <c r="J29" i="23"/>
  <c r="E29" i="23"/>
  <c r="J28" i="23"/>
  <c r="E28" i="23"/>
  <c r="E34" i="23" s="1"/>
  <c r="J27" i="23"/>
  <c r="E27" i="23"/>
  <c r="J26" i="23"/>
  <c r="J32" i="23" s="1"/>
  <c r="D24" i="23"/>
  <c r="J55" i="23" s="1"/>
  <c r="C24" i="23"/>
  <c r="J53" i="23" s="1"/>
  <c r="J4" i="23" s="1"/>
  <c r="I23" i="23"/>
  <c r="H23" i="23"/>
  <c r="E23" i="23"/>
  <c r="J22" i="23"/>
  <c r="E22" i="23"/>
  <c r="J21" i="23"/>
  <c r="E21" i="23"/>
  <c r="J20" i="23"/>
  <c r="E20" i="23"/>
  <c r="J19" i="23"/>
  <c r="E19" i="23"/>
  <c r="J18" i="23"/>
  <c r="E18" i="23"/>
  <c r="J17" i="23"/>
  <c r="E17" i="23"/>
  <c r="J16" i="23"/>
  <c r="E16" i="23"/>
  <c r="J15" i="23"/>
  <c r="E15" i="23"/>
  <c r="J14" i="23"/>
  <c r="J23" i="23" s="1"/>
  <c r="E14" i="23"/>
  <c r="E24" i="23" s="1"/>
  <c r="E11" i="23"/>
  <c r="E7" i="23"/>
  <c r="D65" i="22"/>
  <c r="C65" i="22"/>
  <c r="E64" i="22"/>
  <c r="E63" i="22"/>
  <c r="E62" i="22"/>
  <c r="E61" i="22"/>
  <c r="E60" i="22"/>
  <c r="E59" i="22"/>
  <c r="E58" i="22"/>
  <c r="E65" i="22" s="1"/>
  <c r="D55" i="22"/>
  <c r="C55" i="22"/>
  <c r="E54" i="22"/>
  <c r="E53" i="22"/>
  <c r="E52" i="22"/>
  <c r="I51" i="22"/>
  <c r="H51" i="22"/>
  <c r="E51" i="22"/>
  <c r="J50" i="22"/>
  <c r="E50" i="22"/>
  <c r="E55" i="22" s="1"/>
  <c r="J49" i="22"/>
  <c r="J48" i="22"/>
  <c r="J51" i="22" s="1"/>
  <c r="E47" i="22"/>
  <c r="D47" i="22"/>
  <c r="C47" i="22"/>
  <c r="E46" i="22"/>
  <c r="I45" i="22"/>
  <c r="H45" i="22"/>
  <c r="E45" i="22"/>
  <c r="J44" i="22"/>
  <c r="E44" i="22"/>
  <c r="J43" i="22"/>
  <c r="J42" i="22"/>
  <c r="J45" i="22" s="1"/>
  <c r="E41" i="22"/>
  <c r="D41" i="22"/>
  <c r="C41" i="22"/>
  <c r="E40" i="22"/>
  <c r="I39" i="22"/>
  <c r="H39" i="22"/>
  <c r="E39" i="22"/>
  <c r="J38" i="22"/>
  <c r="E38" i="22"/>
  <c r="J37" i="22"/>
  <c r="E37" i="22"/>
  <c r="J36" i="22"/>
  <c r="J39" i="22" s="1"/>
  <c r="J35" i="22"/>
  <c r="D34" i="22"/>
  <c r="C34" i="22"/>
  <c r="E33" i="22"/>
  <c r="I32" i="22"/>
  <c r="H32" i="22"/>
  <c r="E32" i="22"/>
  <c r="J31" i="22"/>
  <c r="E31" i="22"/>
  <c r="J30" i="22"/>
  <c r="E30" i="22"/>
  <c r="J29" i="22"/>
  <c r="E29" i="22"/>
  <c r="J28" i="22"/>
  <c r="E28" i="22"/>
  <c r="E34" i="22" s="1"/>
  <c r="J27" i="22"/>
  <c r="J32" i="22" s="1"/>
  <c r="E27" i="22"/>
  <c r="J26" i="22"/>
  <c r="D24" i="22"/>
  <c r="J55" i="22" s="1"/>
  <c r="J7" i="22" s="1"/>
  <c r="J10" i="22" s="1"/>
  <c r="C24" i="22"/>
  <c r="J53" i="22" s="1"/>
  <c r="J4" i="22" s="1"/>
  <c r="I23" i="22"/>
  <c r="H23" i="22"/>
  <c r="E23" i="22"/>
  <c r="J22" i="22"/>
  <c r="E22" i="22"/>
  <c r="J21" i="22"/>
  <c r="E21" i="22"/>
  <c r="J20" i="22"/>
  <c r="E20" i="22"/>
  <c r="J19" i="22"/>
  <c r="E19" i="22"/>
  <c r="J18" i="22"/>
  <c r="E18" i="22"/>
  <c r="J17" i="22"/>
  <c r="E17" i="22"/>
  <c r="J16" i="22"/>
  <c r="E16" i="22"/>
  <c r="J15" i="22"/>
  <c r="J23" i="22" s="1"/>
  <c r="E15" i="22"/>
  <c r="J14" i="22"/>
  <c r="E14" i="22"/>
  <c r="E24" i="22" s="1"/>
  <c r="E11" i="22"/>
  <c r="E7" i="22"/>
  <c r="D65" i="21"/>
  <c r="C65" i="21"/>
  <c r="E64" i="21"/>
  <c r="E63" i="21"/>
  <c r="E62" i="21"/>
  <c r="E61" i="21"/>
  <c r="E60" i="21"/>
  <c r="E59" i="21"/>
  <c r="E58" i="21"/>
  <c r="E65" i="21" s="1"/>
  <c r="J55" i="21"/>
  <c r="D55" i="21"/>
  <c r="C55" i="21"/>
  <c r="E54" i="21"/>
  <c r="E53" i="21"/>
  <c r="E52" i="21"/>
  <c r="I51" i="21"/>
  <c r="H51" i="21"/>
  <c r="E51" i="21"/>
  <c r="J50" i="21"/>
  <c r="E50" i="21"/>
  <c r="E55" i="21" s="1"/>
  <c r="J49" i="21"/>
  <c r="J48" i="21"/>
  <c r="J51" i="21" s="1"/>
  <c r="E47" i="21"/>
  <c r="D47" i="21"/>
  <c r="C47" i="21"/>
  <c r="E46" i="21"/>
  <c r="I45" i="21"/>
  <c r="H45" i="21"/>
  <c r="E45" i="21"/>
  <c r="J44" i="21"/>
  <c r="E44" i="21"/>
  <c r="J43" i="21"/>
  <c r="J42" i="21"/>
  <c r="J45" i="21" s="1"/>
  <c r="E41" i="21"/>
  <c r="D41" i="21"/>
  <c r="C41" i="21"/>
  <c r="E40" i="21"/>
  <c r="I39" i="21"/>
  <c r="H39" i="21"/>
  <c r="E39" i="21"/>
  <c r="J38" i="21"/>
  <c r="E38" i="21"/>
  <c r="J37" i="21"/>
  <c r="E37" i="21"/>
  <c r="J36" i="21"/>
  <c r="J35" i="21"/>
  <c r="J39" i="21" s="1"/>
  <c r="E34" i="21"/>
  <c r="D34" i="21"/>
  <c r="C34" i="21"/>
  <c r="E33" i="21"/>
  <c r="I32" i="21"/>
  <c r="H32" i="21"/>
  <c r="E32" i="21"/>
  <c r="J31" i="21"/>
  <c r="E31" i="21"/>
  <c r="J30" i="21"/>
  <c r="E30" i="21"/>
  <c r="J29" i="21"/>
  <c r="E29" i="21"/>
  <c r="J28" i="21"/>
  <c r="E28" i="21"/>
  <c r="J27" i="21"/>
  <c r="J32" i="21" s="1"/>
  <c r="E27" i="21"/>
  <c r="J26" i="21"/>
  <c r="D24" i="21"/>
  <c r="C24" i="21"/>
  <c r="J53" i="21" s="1"/>
  <c r="J4" i="21" s="1"/>
  <c r="J23" i="21"/>
  <c r="I23" i="21"/>
  <c r="H23" i="21"/>
  <c r="E23" i="21"/>
  <c r="J22" i="21"/>
  <c r="E22" i="21"/>
  <c r="J21" i="21"/>
  <c r="E21" i="21"/>
  <c r="J20" i="21"/>
  <c r="E20" i="21"/>
  <c r="J19" i="21"/>
  <c r="E19" i="21"/>
  <c r="J18" i="21"/>
  <c r="E18" i="21"/>
  <c r="J17" i="21"/>
  <c r="E17" i="21"/>
  <c r="J16" i="21"/>
  <c r="E16" i="21"/>
  <c r="J15" i="21"/>
  <c r="E15" i="21"/>
  <c r="J14" i="21"/>
  <c r="E14" i="21"/>
  <c r="E24" i="21" s="1"/>
  <c r="E11" i="21"/>
  <c r="J7" i="21"/>
  <c r="J10" i="21" s="1"/>
  <c r="E7" i="21"/>
  <c r="D65" i="20"/>
  <c r="C65" i="20"/>
  <c r="E64" i="20"/>
  <c r="E63" i="20"/>
  <c r="E62" i="20"/>
  <c r="E61" i="20"/>
  <c r="E60" i="20"/>
  <c r="E59" i="20"/>
  <c r="E58" i="20"/>
  <c r="E65" i="20" s="1"/>
  <c r="D55" i="20"/>
  <c r="C55" i="20"/>
  <c r="E54" i="20"/>
  <c r="E53" i="20"/>
  <c r="E52" i="20"/>
  <c r="I51" i="20"/>
  <c r="H51" i="20"/>
  <c r="E51" i="20"/>
  <c r="J50" i="20"/>
  <c r="E50" i="20"/>
  <c r="E55" i="20" s="1"/>
  <c r="J49" i="20"/>
  <c r="J48" i="20"/>
  <c r="J51" i="20" s="1"/>
  <c r="D47" i="20"/>
  <c r="C47" i="20"/>
  <c r="E46" i="20"/>
  <c r="I45" i="20"/>
  <c r="H45" i="20"/>
  <c r="E45" i="20"/>
  <c r="E47" i="20" s="1"/>
  <c r="J44" i="20"/>
  <c r="E44" i="20"/>
  <c r="J43" i="20"/>
  <c r="J42" i="20"/>
  <c r="J45" i="20" s="1"/>
  <c r="D41" i="20"/>
  <c r="J55" i="20" s="1"/>
  <c r="J7" i="20" s="1"/>
  <c r="C41" i="20"/>
  <c r="J53" i="20" s="1"/>
  <c r="J4" i="20" s="1"/>
  <c r="E40" i="20"/>
  <c r="I39" i="20"/>
  <c r="H39" i="20"/>
  <c r="E39" i="20"/>
  <c r="E41" i="20" s="1"/>
  <c r="J38" i="20"/>
  <c r="E38" i="20"/>
  <c r="J37" i="20"/>
  <c r="E37" i="20"/>
  <c r="J36" i="20"/>
  <c r="J35" i="20"/>
  <c r="J39" i="20" s="1"/>
  <c r="E34" i="20"/>
  <c r="D34" i="20"/>
  <c r="C34" i="20"/>
  <c r="E33" i="20"/>
  <c r="I32" i="20"/>
  <c r="H32" i="20"/>
  <c r="E32" i="20"/>
  <c r="J31" i="20"/>
  <c r="E31" i="20"/>
  <c r="J30" i="20"/>
  <c r="E30" i="20"/>
  <c r="J29" i="20"/>
  <c r="E29" i="20"/>
  <c r="J28" i="20"/>
  <c r="E28" i="20"/>
  <c r="J27" i="20"/>
  <c r="E27" i="20"/>
  <c r="J26" i="20"/>
  <c r="J32" i="20" s="1"/>
  <c r="D24" i="20"/>
  <c r="C24" i="20"/>
  <c r="I23" i="20"/>
  <c r="H23" i="20"/>
  <c r="E23" i="20"/>
  <c r="J22" i="20"/>
  <c r="E22" i="20"/>
  <c r="J21" i="20"/>
  <c r="E21" i="20"/>
  <c r="J20" i="20"/>
  <c r="E20" i="20"/>
  <c r="J19" i="20"/>
  <c r="E19" i="20"/>
  <c r="J18" i="20"/>
  <c r="E18" i="20"/>
  <c r="J17" i="20"/>
  <c r="E17" i="20"/>
  <c r="J16" i="20"/>
  <c r="E16" i="20"/>
  <c r="J15" i="20"/>
  <c r="E15" i="20"/>
  <c r="J14" i="20"/>
  <c r="J23" i="20" s="1"/>
  <c r="E14" i="20"/>
  <c r="E24" i="20" s="1"/>
  <c r="E11" i="20"/>
  <c r="E7" i="20"/>
  <c r="D65" i="19"/>
  <c r="C65" i="19"/>
  <c r="E64" i="19"/>
  <c r="E63" i="19"/>
  <c r="E62" i="19"/>
  <c r="E61" i="19"/>
  <c r="E60" i="19"/>
  <c r="E65" i="19" s="1"/>
  <c r="E59" i="19"/>
  <c r="E58" i="19"/>
  <c r="D55" i="19"/>
  <c r="C55" i="19"/>
  <c r="E54" i="19"/>
  <c r="E53" i="19"/>
  <c r="E52" i="19"/>
  <c r="I51" i="19"/>
  <c r="H51" i="19"/>
  <c r="E51" i="19"/>
  <c r="J50" i="19"/>
  <c r="E50" i="19"/>
  <c r="E55" i="19" s="1"/>
  <c r="J49" i="19"/>
  <c r="J51" i="19" s="1"/>
  <c r="J48" i="19"/>
  <c r="D47" i="19"/>
  <c r="C47" i="19"/>
  <c r="E46" i="19"/>
  <c r="I45" i="19"/>
  <c r="H45" i="19"/>
  <c r="E45" i="19"/>
  <c r="J44" i="19"/>
  <c r="E44" i="19"/>
  <c r="E47" i="19" s="1"/>
  <c r="J43" i="19"/>
  <c r="J45" i="19" s="1"/>
  <c r="J42" i="19"/>
  <c r="D41" i="19"/>
  <c r="C41" i="19"/>
  <c r="E40" i="19"/>
  <c r="J39" i="19"/>
  <c r="I39" i="19"/>
  <c r="H39" i="19"/>
  <c r="E39" i="19"/>
  <c r="J38" i="19"/>
  <c r="E38" i="19"/>
  <c r="E41" i="19" s="1"/>
  <c r="J37" i="19"/>
  <c r="E37" i="19"/>
  <c r="J36" i="19"/>
  <c r="J35" i="19"/>
  <c r="D34" i="19"/>
  <c r="C34" i="19"/>
  <c r="E33" i="19"/>
  <c r="I32" i="19"/>
  <c r="H32" i="19"/>
  <c r="E32" i="19"/>
  <c r="J31" i="19"/>
  <c r="E31" i="19"/>
  <c r="J30" i="19"/>
  <c r="E30" i="19"/>
  <c r="J29" i="19"/>
  <c r="E29" i="19"/>
  <c r="E34" i="19" s="1"/>
  <c r="J28" i="19"/>
  <c r="E28" i="19"/>
  <c r="J27" i="19"/>
  <c r="E27" i="19"/>
  <c r="J26" i="19"/>
  <c r="J32" i="19" s="1"/>
  <c r="D24" i="19"/>
  <c r="J55" i="19" s="1"/>
  <c r="C24" i="19"/>
  <c r="J53" i="19" s="1"/>
  <c r="J4" i="19" s="1"/>
  <c r="I23" i="19"/>
  <c r="H23" i="19"/>
  <c r="E23" i="19"/>
  <c r="J22" i="19"/>
  <c r="E22" i="19"/>
  <c r="J21" i="19"/>
  <c r="E21" i="19"/>
  <c r="J20" i="19"/>
  <c r="E20" i="19"/>
  <c r="J19" i="19"/>
  <c r="E19" i="19"/>
  <c r="J18" i="19"/>
  <c r="E18" i="19"/>
  <c r="J17" i="19"/>
  <c r="E17" i="19"/>
  <c r="J16" i="19"/>
  <c r="E16" i="19"/>
  <c r="J15" i="19"/>
  <c r="E15" i="19"/>
  <c r="J14" i="19"/>
  <c r="J23" i="19" s="1"/>
  <c r="E14" i="19"/>
  <c r="E24" i="19" s="1"/>
  <c r="E11" i="19"/>
  <c r="J7" i="19" s="1"/>
  <c r="J10" i="19" s="1"/>
  <c r="E7" i="19"/>
  <c r="J10" i="25" l="1"/>
  <c r="J57" i="25"/>
  <c r="J57" i="24"/>
  <c r="J7" i="23"/>
  <c r="J10" i="23" s="1"/>
  <c r="J57" i="23"/>
  <c r="J57" i="22"/>
  <c r="J57" i="21"/>
  <c r="J10" i="20"/>
  <c r="J57" i="20"/>
  <c r="J57" i="19"/>
  <c r="D65" i="17"/>
  <c r="C65" i="17"/>
  <c r="E64" i="17"/>
  <c r="E63" i="17"/>
  <c r="E62" i="17"/>
  <c r="E61" i="17"/>
  <c r="E60" i="17"/>
  <c r="E59" i="17"/>
  <c r="E58" i="17"/>
  <c r="E65" i="17" s="1"/>
  <c r="D55" i="17"/>
  <c r="C55" i="17"/>
  <c r="E54" i="17"/>
  <c r="E53" i="17"/>
  <c r="E52" i="17"/>
  <c r="J51" i="17"/>
  <c r="I51" i="17"/>
  <c r="H51" i="17"/>
  <c r="E51" i="17"/>
  <c r="J50" i="17"/>
  <c r="E50" i="17"/>
  <c r="E55" i="17" s="1"/>
  <c r="J49" i="17"/>
  <c r="J48" i="17"/>
  <c r="E47" i="17"/>
  <c r="D47" i="17"/>
  <c r="C47" i="17"/>
  <c r="E46" i="17"/>
  <c r="I45" i="17"/>
  <c r="H45" i="17"/>
  <c r="E45" i="17"/>
  <c r="J44" i="17"/>
  <c r="E44" i="17"/>
  <c r="J43" i="17"/>
  <c r="J45" i="17" s="1"/>
  <c r="J42" i="17"/>
  <c r="E41" i="17"/>
  <c r="D41" i="17"/>
  <c r="C41" i="17"/>
  <c r="E40" i="17"/>
  <c r="I39" i="17"/>
  <c r="H39" i="17"/>
  <c r="E39" i="17"/>
  <c r="J38" i="17"/>
  <c r="E38" i="17"/>
  <c r="J37" i="17"/>
  <c r="E37" i="17"/>
  <c r="J36" i="17"/>
  <c r="J39" i="17" s="1"/>
  <c r="J35" i="17"/>
  <c r="D34" i="17"/>
  <c r="C34" i="17"/>
  <c r="E33" i="17"/>
  <c r="I32" i="17"/>
  <c r="H32" i="17"/>
  <c r="E32" i="17"/>
  <c r="J31" i="17"/>
  <c r="E31" i="17"/>
  <c r="J30" i="17"/>
  <c r="E30" i="17"/>
  <c r="J29" i="17"/>
  <c r="E29" i="17"/>
  <c r="J28" i="17"/>
  <c r="E28" i="17"/>
  <c r="E34" i="17" s="1"/>
  <c r="J27" i="17"/>
  <c r="J32" i="17" s="1"/>
  <c r="E27" i="17"/>
  <c r="J26" i="17"/>
  <c r="D24" i="17"/>
  <c r="J55" i="17" s="1"/>
  <c r="J7" i="17" s="1"/>
  <c r="J10" i="17" s="1"/>
  <c r="C24" i="17"/>
  <c r="J53" i="17" s="1"/>
  <c r="J4" i="17" s="1"/>
  <c r="I23" i="17"/>
  <c r="H23" i="17"/>
  <c r="E23" i="17"/>
  <c r="J22" i="17"/>
  <c r="E22" i="17"/>
  <c r="J21" i="17"/>
  <c r="E21" i="17"/>
  <c r="J20" i="17"/>
  <c r="E20" i="17"/>
  <c r="J19" i="17"/>
  <c r="E19" i="17"/>
  <c r="J18" i="17"/>
  <c r="E18" i="17"/>
  <c r="J17" i="17"/>
  <c r="E17" i="17"/>
  <c r="J16" i="17"/>
  <c r="E16" i="17"/>
  <c r="J15" i="17"/>
  <c r="J23" i="17" s="1"/>
  <c r="E15" i="17"/>
  <c r="J14" i="17"/>
  <c r="E14" i="17"/>
  <c r="E24" i="17" s="1"/>
  <c r="E11" i="17"/>
  <c r="E7" i="17"/>
  <c r="D65" i="16"/>
  <c r="C65" i="16"/>
  <c r="E64" i="16"/>
  <c r="E63" i="16"/>
  <c r="E62" i="16"/>
  <c r="E61" i="16"/>
  <c r="E60" i="16"/>
  <c r="E59" i="16"/>
  <c r="E58" i="16"/>
  <c r="E65" i="16" s="1"/>
  <c r="D55" i="16"/>
  <c r="C55" i="16"/>
  <c r="E54" i="16"/>
  <c r="E53" i="16"/>
  <c r="E52" i="16"/>
  <c r="I51" i="16"/>
  <c r="H51" i="16"/>
  <c r="E51" i="16"/>
  <c r="J50" i="16"/>
  <c r="E50" i="16"/>
  <c r="E55" i="16" s="1"/>
  <c r="J49" i="16"/>
  <c r="J51" i="16" s="1"/>
  <c r="J48" i="16"/>
  <c r="E47" i="16"/>
  <c r="D47" i="16"/>
  <c r="C47" i="16"/>
  <c r="E46" i="16"/>
  <c r="I45" i="16"/>
  <c r="H45" i="16"/>
  <c r="E45" i="16"/>
  <c r="J44" i="16"/>
  <c r="E44" i="16"/>
  <c r="J43" i="16"/>
  <c r="J45" i="16" s="1"/>
  <c r="J42" i="16"/>
  <c r="E41" i="16"/>
  <c r="D41" i="16"/>
  <c r="C41" i="16"/>
  <c r="E40" i="16"/>
  <c r="I39" i="16"/>
  <c r="H39" i="16"/>
  <c r="E39" i="16"/>
  <c r="J38" i="16"/>
  <c r="E38" i="16"/>
  <c r="J37" i="16"/>
  <c r="E37" i="16"/>
  <c r="J36" i="16"/>
  <c r="J39" i="16" s="1"/>
  <c r="J35" i="16"/>
  <c r="E34" i="16"/>
  <c r="D34" i="16"/>
  <c r="C34" i="16"/>
  <c r="E33" i="16"/>
  <c r="I32" i="16"/>
  <c r="H32" i="16"/>
  <c r="E32" i="16"/>
  <c r="J31" i="16"/>
  <c r="E31" i="16"/>
  <c r="J30" i="16"/>
  <c r="E30" i="16"/>
  <c r="J29" i="16"/>
  <c r="E29" i="16"/>
  <c r="J28" i="16"/>
  <c r="E28" i="16"/>
  <c r="J27" i="16"/>
  <c r="J32" i="16" s="1"/>
  <c r="E27" i="16"/>
  <c r="J26" i="16"/>
  <c r="D24" i="16"/>
  <c r="J55" i="16" s="1"/>
  <c r="J7" i="16" s="1"/>
  <c r="J10" i="16" s="1"/>
  <c r="C24" i="16"/>
  <c r="J53" i="16" s="1"/>
  <c r="J4" i="16" s="1"/>
  <c r="I23" i="16"/>
  <c r="H23" i="16"/>
  <c r="E23" i="16"/>
  <c r="J22" i="16"/>
  <c r="E22" i="16"/>
  <c r="J21" i="16"/>
  <c r="E21" i="16"/>
  <c r="J20" i="16"/>
  <c r="E20" i="16"/>
  <c r="J19" i="16"/>
  <c r="E19" i="16"/>
  <c r="J18" i="16"/>
  <c r="E18" i="16"/>
  <c r="J17" i="16"/>
  <c r="E17" i="16"/>
  <c r="J16" i="16"/>
  <c r="E16" i="16"/>
  <c r="J15" i="16"/>
  <c r="J23" i="16" s="1"/>
  <c r="E15" i="16"/>
  <c r="J14" i="16"/>
  <c r="E14" i="16"/>
  <c r="E24" i="16" s="1"/>
  <c r="E11" i="16"/>
  <c r="E7" i="16"/>
  <c r="D65" i="15"/>
  <c r="C65" i="15"/>
  <c r="E64" i="15"/>
  <c r="E63" i="15"/>
  <c r="E62" i="15"/>
  <c r="E61" i="15"/>
  <c r="E60" i="15"/>
  <c r="E59" i="15"/>
  <c r="E65" i="15" s="1"/>
  <c r="E58" i="15"/>
  <c r="D55" i="15"/>
  <c r="C55" i="15"/>
  <c r="E54" i="15"/>
  <c r="E53" i="15"/>
  <c r="E52" i="15"/>
  <c r="I51" i="15"/>
  <c r="H51" i="15"/>
  <c r="E51" i="15"/>
  <c r="J50" i="15"/>
  <c r="E50" i="15"/>
  <c r="E55" i="15" s="1"/>
  <c r="J49" i="15"/>
  <c r="J48" i="15"/>
  <c r="J51" i="15" s="1"/>
  <c r="D47" i="15"/>
  <c r="C47" i="15"/>
  <c r="E46" i="15"/>
  <c r="I45" i="15"/>
  <c r="H45" i="15"/>
  <c r="E45" i="15"/>
  <c r="J44" i="15"/>
  <c r="E44" i="15"/>
  <c r="E47" i="15" s="1"/>
  <c r="J43" i="15"/>
  <c r="J42" i="15"/>
  <c r="J45" i="15" s="1"/>
  <c r="D41" i="15"/>
  <c r="C41" i="15"/>
  <c r="E40" i="15"/>
  <c r="I39" i="15"/>
  <c r="H39" i="15"/>
  <c r="E39" i="15"/>
  <c r="J38" i="15"/>
  <c r="E38" i="15"/>
  <c r="J37" i="15"/>
  <c r="J39" i="15" s="1"/>
  <c r="E37" i="15"/>
  <c r="E41" i="15" s="1"/>
  <c r="J36" i="15"/>
  <c r="J35" i="15"/>
  <c r="D34" i="15"/>
  <c r="C34" i="15"/>
  <c r="E33" i="15"/>
  <c r="I32" i="15"/>
  <c r="H32" i="15"/>
  <c r="E32" i="15"/>
  <c r="J31" i="15"/>
  <c r="E31" i="15"/>
  <c r="J30" i="15"/>
  <c r="E30" i="15"/>
  <c r="J29" i="15"/>
  <c r="E29" i="15"/>
  <c r="J28" i="15"/>
  <c r="E28" i="15"/>
  <c r="E34" i="15" s="1"/>
  <c r="J27" i="15"/>
  <c r="E27" i="15"/>
  <c r="J26" i="15"/>
  <c r="J32" i="15" s="1"/>
  <c r="D24" i="15"/>
  <c r="J55" i="15" s="1"/>
  <c r="C24" i="15"/>
  <c r="J53" i="15" s="1"/>
  <c r="J4" i="15" s="1"/>
  <c r="I23" i="15"/>
  <c r="H23" i="15"/>
  <c r="E23" i="15"/>
  <c r="J22" i="15"/>
  <c r="E22" i="15"/>
  <c r="J21" i="15"/>
  <c r="E21" i="15"/>
  <c r="J20" i="15"/>
  <c r="E20" i="15"/>
  <c r="J19" i="15"/>
  <c r="E19" i="15"/>
  <c r="J18" i="15"/>
  <c r="E18" i="15"/>
  <c r="J17" i="15"/>
  <c r="E17" i="15"/>
  <c r="J16" i="15"/>
  <c r="E16" i="15"/>
  <c r="J15" i="15"/>
  <c r="E15" i="15"/>
  <c r="J14" i="15"/>
  <c r="J23" i="15" s="1"/>
  <c r="E14" i="15"/>
  <c r="E24" i="15" s="1"/>
  <c r="E11" i="15"/>
  <c r="E7" i="15"/>
  <c r="D65" i="14"/>
  <c r="C65" i="14"/>
  <c r="E64" i="14"/>
  <c r="E63" i="14"/>
  <c r="E62" i="14"/>
  <c r="E61" i="14"/>
  <c r="E60" i="14"/>
  <c r="E59" i="14"/>
  <c r="E65" i="14" s="1"/>
  <c r="E58" i="14"/>
  <c r="D55" i="14"/>
  <c r="C55" i="14"/>
  <c r="E54" i="14"/>
  <c r="E53" i="14"/>
  <c r="E52" i="14"/>
  <c r="I51" i="14"/>
  <c r="H51" i="14"/>
  <c r="E51" i="14"/>
  <c r="J50" i="14"/>
  <c r="E50" i="14"/>
  <c r="E55" i="14" s="1"/>
  <c r="J49" i="14"/>
  <c r="J48" i="14"/>
  <c r="J51" i="14" s="1"/>
  <c r="E47" i="14"/>
  <c r="D47" i="14"/>
  <c r="C47" i="14"/>
  <c r="E46" i="14"/>
  <c r="I45" i="14"/>
  <c r="H45" i="14"/>
  <c r="E45" i="14"/>
  <c r="J44" i="14"/>
  <c r="E44" i="14"/>
  <c r="J43" i="14"/>
  <c r="J42" i="14"/>
  <c r="J45" i="14" s="1"/>
  <c r="D41" i="14"/>
  <c r="C41" i="14"/>
  <c r="E40" i="14"/>
  <c r="I39" i="14"/>
  <c r="H39" i="14"/>
  <c r="E39" i="14"/>
  <c r="J38" i="14"/>
  <c r="E38" i="14"/>
  <c r="J37" i="14"/>
  <c r="E37" i="14"/>
  <c r="E41" i="14" s="1"/>
  <c r="J36" i="14"/>
  <c r="J39" i="14" s="1"/>
  <c r="J35" i="14"/>
  <c r="D34" i="14"/>
  <c r="C34" i="14"/>
  <c r="E33" i="14"/>
  <c r="I32" i="14"/>
  <c r="H32" i="14"/>
  <c r="E32" i="14"/>
  <c r="J31" i="14"/>
  <c r="E31" i="14"/>
  <c r="J30" i="14"/>
  <c r="E30" i="14"/>
  <c r="J29" i="14"/>
  <c r="E29" i="14"/>
  <c r="J28" i="14"/>
  <c r="E28" i="14"/>
  <c r="J27" i="14"/>
  <c r="J32" i="14" s="1"/>
  <c r="E27" i="14"/>
  <c r="E34" i="14" s="1"/>
  <c r="J26" i="14"/>
  <c r="D24" i="14"/>
  <c r="J55" i="14" s="1"/>
  <c r="J7" i="14" s="1"/>
  <c r="C24" i="14"/>
  <c r="J53" i="14" s="1"/>
  <c r="I23" i="14"/>
  <c r="H23" i="14"/>
  <c r="E23" i="14"/>
  <c r="J22" i="14"/>
  <c r="E22" i="14"/>
  <c r="J21" i="14"/>
  <c r="E21" i="14"/>
  <c r="J20" i="14"/>
  <c r="E20" i="14"/>
  <c r="J19" i="14"/>
  <c r="E19" i="14"/>
  <c r="J18" i="14"/>
  <c r="E18" i="14"/>
  <c r="J17" i="14"/>
  <c r="E17" i="14"/>
  <c r="J16" i="14"/>
  <c r="E16" i="14"/>
  <c r="J15" i="14"/>
  <c r="J23" i="14" s="1"/>
  <c r="E15" i="14"/>
  <c r="J14" i="14"/>
  <c r="E14" i="14"/>
  <c r="E24" i="14" s="1"/>
  <c r="E11" i="14"/>
  <c r="E7" i="14"/>
  <c r="J57" i="1"/>
  <c r="J55" i="1"/>
  <c r="J53" i="1"/>
  <c r="E11" i="1"/>
  <c r="E7" i="1"/>
  <c r="J57" i="17" l="1"/>
  <c r="J57" i="16"/>
  <c r="J7" i="15"/>
  <c r="J10" i="15" s="1"/>
  <c r="J57" i="15"/>
  <c r="J4" i="14"/>
  <c r="J10" i="14"/>
  <c r="J57" i="14"/>
  <c r="E33" i="1" l="1"/>
  <c r="J31" i="1"/>
  <c r="J38" i="1"/>
  <c r="E40" i="1"/>
  <c r="J48" i="1"/>
  <c r="J49" i="1"/>
  <c r="J50" i="1"/>
  <c r="J42" i="1"/>
  <c r="J43" i="1"/>
  <c r="J44" i="1"/>
  <c r="J35" i="1"/>
  <c r="J36" i="1"/>
  <c r="J37" i="1"/>
  <c r="J26" i="1"/>
  <c r="J27" i="1"/>
  <c r="J28" i="1"/>
  <c r="J29" i="1"/>
  <c r="J30" i="1"/>
  <c r="J14" i="1"/>
  <c r="J15" i="1"/>
  <c r="J16" i="1"/>
  <c r="J17" i="1"/>
  <c r="J18" i="1"/>
  <c r="J19" i="1"/>
  <c r="J20" i="1"/>
  <c r="J21" i="1"/>
  <c r="J22" i="1"/>
  <c r="E58" i="1"/>
  <c r="E59" i="1"/>
  <c r="E60" i="1"/>
  <c r="E61" i="1"/>
  <c r="E62" i="1"/>
  <c r="E63" i="1"/>
  <c r="E64" i="1"/>
  <c r="E50" i="1"/>
  <c r="E51" i="1"/>
  <c r="E52" i="1"/>
  <c r="E53" i="1"/>
  <c r="E54" i="1"/>
  <c r="E44" i="1"/>
  <c r="E45" i="1"/>
  <c r="E46" i="1"/>
  <c r="E37" i="1"/>
  <c r="E38" i="1"/>
  <c r="E39" i="1"/>
  <c r="E27" i="1"/>
  <c r="E28" i="1"/>
  <c r="E29" i="1"/>
  <c r="E30" i="1"/>
  <c r="E31" i="1"/>
  <c r="E32" i="1"/>
  <c r="E14" i="1"/>
  <c r="E15" i="1"/>
  <c r="E16" i="1"/>
  <c r="E17" i="1"/>
  <c r="E18" i="1"/>
  <c r="E19" i="1"/>
  <c r="E20" i="1"/>
  <c r="E21" i="1"/>
  <c r="E22" i="1"/>
  <c r="E23" i="1"/>
  <c r="I51" i="1"/>
  <c r="H51" i="1"/>
  <c r="I45" i="1"/>
  <c r="H45" i="1"/>
  <c r="I39" i="1"/>
  <c r="H39" i="1"/>
  <c r="I32" i="1"/>
  <c r="H32" i="1"/>
  <c r="D65" i="1"/>
  <c r="C65" i="1"/>
  <c r="D55" i="1"/>
  <c r="C55" i="1"/>
  <c r="D47" i="1"/>
  <c r="C47" i="1"/>
  <c r="D41" i="1"/>
  <c r="C41" i="1"/>
  <c r="D34" i="1"/>
  <c r="C34" i="1"/>
  <c r="I23" i="1"/>
  <c r="H23" i="1"/>
  <c r="D24" i="1"/>
  <c r="C24" i="1"/>
  <c r="E65" i="1" l="1"/>
  <c r="E24" i="1"/>
  <c r="J51" i="1"/>
  <c r="J45" i="1"/>
  <c r="J39" i="1"/>
  <c r="J32" i="1"/>
  <c r="E55" i="1"/>
  <c r="E47" i="1"/>
  <c r="E41" i="1"/>
  <c r="E34" i="1"/>
  <c r="J23" i="1"/>
  <c r="J7" i="1" l="1"/>
  <c r="J4" i="1"/>
  <c r="J10" i="1" l="1"/>
</calcChain>
</file>

<file path=xl/sharedStrings.xml><?xml version="1.0" encoding="utf-8"?>
<sst xmlns="http://schemas.openxmlformats.org/spreadsheetml/2006/main" count="1608" uniqueCount="71">
  <si>
    <t>Projected Cost</t>
  </si>
  <si>
    <t>Actual Cost</t>
  </si>
  <si>
    <t>Difference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</si>
  <si>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</si>
  <si>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</si>
  <si>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</si>
  <si>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</si>
  <si>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</si>
  <si>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</si>
  <si>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</si>
  <si>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</si>
  <si>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</si>
  <si>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</si>
  <si>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</si>
  <si>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</si>
  <si>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</si>
  <si>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</si>
  <si>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</si>
  <si>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</si>
  <si>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</si>
  <si>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</si>
  <si>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</si>
  <si>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</si>
  <si>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</si>
  <si>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Dining out</t>
  </si>
  <si>
    <t>Movies</t>
  </si>
  <si>
    <t>Concerts</t>
  </si>
  <si>
    <t>Live theater</t>
  </si>
  <si>
    <t>Dry cleaning</t>
  </si>
  <si>
    <t>Personal</t>
  </si>
  <si>
    <t>Charity 1</t>
  </si>
  <si>
    <t>Charity 2</t>
  </si>
  <si>
    <t>Organization dues or fees</t>
  </si>
  <si>
    <t>Student</t>
  </si>
  <si>
    <t>Personal Monthly Budget</t>
  </si>
  <si>
    <t>Total monthly income</t>
  </si>
  <si>
    <t>Charity 3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</si>
  <si>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</si>
  <si>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</si>
  <si>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</si>
  <si>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</si>
  <si>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</si>
  <si>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</si>
  <si>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</si>
  <si>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</si>
  <si>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TRANSPORTATION</t>
  </si>
  <si>
    <t>INSURANCE</t>
  </si>
  <si>
    <t>FOOD</t>
  </si>
  <si>
    <t>SAVINGS OR INVESTMENTS</t>
  </si>
  <si>
    <t>GIFTS AND DONATIONS</t>
  </si>
  <si>
    <t>PETS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</si>
  <si>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</si>
  <si>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</si>
  <si>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</si>
  <si>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</si>
  <si>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</si>
  <si>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</si>
  <si>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</si>
  <si>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</si>
  <si>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</si>
  <si>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</si>
  <si>
    <t>Music</t>
  </si>
  <si>
    <t>Mortgage, rent, or dorm</t>
  </si>
  <si>
    <t xml:space="preserve">Ridesharing </t>
  </si>
  <si>
    <t>Home/Renters</t>
  </si>
  <si>
    <t>Gym/Studio</t>
  </si>
  <si>
    <t>Streaming Services</t>
  </si>
  <si>
    <t>LOANS/DEBT</t>
  </si>
  <si>
    <t>Job 1</t>
  </si>
  <si>
    <t>Job 2</t>
  </si>
  <si>
    <t>If you require the content on this web page in another format, please contact Anna Zimmerman in the Financial Wellness Center at azimmerman@umkc.edu.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</si>
</sst>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6"/>
      <color indexed="63"/>
      <name val="Oswald"/>
    </font>
    <font>
      <sz val="26"/>
      <color rgb="FF0070C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6" fontId="3" fillId="3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/>
    <xf numFmtId="164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0" fontId="6" fillId="0" borderId="0" xfId="0" applyFont="1" applyFill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6" fontId="4" fillId="4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shrinkToFit="1"/>
    </xf>
    <xf numFmtId="6" fontId="4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left" vertical="center" shrinkToFit="1"/>
    </xf>
    <xf numFmtId="0" fontId="4" fillId="3" borderId="12" xfId="0" applyFont="1" applyFill="1" applyBorder="1" applyAlignment="1">
      <alignment horizontal="left" vertical="center" shrinkToFit="1"/>
    </xf>
    <xf numFmtId="0" fontId="4" fillId="3" borderId="13" xfId="0" applyFont="1" applyFill="1" applyBorder="1" applyAlignment="1">
      <alignment horizontal="left" vertical="center" shrinkToFit="1"/>
    </xf>
    <xf numFmtId="0" fontId="4" fillId="3" borderId="0" xfId="0" applyFont="1" applyFill="1" applyBorder="1" applyAlignment="1">
      <alignment horizontal="left" vertical="center" shrinkToFit="1"/>
    </xf>
    <xf numFmtId="0" fontId="4" fillId="3" borderId="14" xfId="0" applyFont="1" applyFill="1" applyBorder="1" applyAlignment="1">
      <alignment horizontal="left" vertical="center" shrinkToFit="1"/>
    </xf>
    <xf numFmtId="0" fontId="4" fillId="3" borderId="15" xfId="0" applyFont="1" applyFill="1" applyBorder="1" applyAlignment="1">
      <alignment horizontal="left" vertical="center" shrinkToFit="1"/>
    </xf>
    <xf numFmtId="0" fontId="4" fillId="3" borderId="16" xfId="0" applyFont="1" applyFill="1" applyBorder="1" applyAlignment="1">
      <alignment horizontal="left" vertical="center" shrinkToFit="1"/>
    </xf>
    <xf numFmtId="0" fontId="4" fillId="3" borderId="17" xfId="0" applyFont="1" applyFill="1" applyBorder="1" applyAlignment="1">
      <alignment horizontal="left" vertical="center" shrinkToFit="1"/>
    </xf>
    <xf numFmtId="6" fontId="4" fillId="4" borderId="2" xfId="0" applyNumberFormat="1" applyFont="1" applyFill="1" applyBorder="1" applyAlignment="1">
      <alignment horizontal="right" vertical="center"/>
    </xf>
    <xf numFmtId="6" fontId="4" fillId="4" borderId="3" xfId="0" applyNumberFormat="1" applyFont="1" applyFill="1" applyBorder="1" applyAlignment="1">
      <alignment horizontal="right" vertical="center"/>
    </xf>
    <xf numFmtId="6" fontId="4" fillId="4" borderId="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</cellXfs>
  <cellStyles count="1">
    <cellStyle name="Normal" xfId="0" builtinId="0" customBuiltin="1"/>
  </cellStyles>
  <dxfs count="15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none"/>
      </font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name val="Calibri"/>
        <scheme val="none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none"/>
      </font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name val="Calibri"/>
        <scheme val="none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none"/>
      </font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name val="Calibri"/>
        <scheme val="none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none"/>
      </font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name val="Calibri"/>
        <scheme val="none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none"/>
      </font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name val="Calibri"/>
        <scheme val="none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none"/>
      </font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name val="Calibri"/>
        <scheme val="none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none"/>
      </font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name val="Calibri"/>
        <scheme val="none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none"/>
      </font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name val="Calibri"/>
        <scheme val="none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none"/>
      </font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name val="Calibri"/>
        <scheme val="none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none"/>
      </font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name val="Calibri"/>
        <scheme val="none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none"/>
      </font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name val="Calibri"/>
        <scheme val="none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0</xdr:row>
      <xdr:rowOff>34116</xdr:rowOff>
    </xdr:from>
    <xdr:to>
      <xdr:col>9</xdr:col>
      <xdr:colOff>390427</xdr:colOff>
      <xdr:row>2</xdr:row>
      <xdr:rowOff>32559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762624" y="34116"/>
          <a:ext cx="3733703" cy="1179543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59</xdr:row>
      <xdr:rowOff>0</xdr:rowOff>
    </xdr:from>
    <xdr:to>
      <xdr:col>10</xdr:col>
      <xdr:colOff>9524</xdr:colOff>
      <xdr:row>64</xdr:row>
      <xdr:rowOff>190500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62549" y="1207770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0</xdr:row>
      <xdr:rowOff>34116</xdr:rowOff>
    </xdr:from>
    <xdr:to>
      <xdr:col>9</xdr:col>
      <xdr:colOff>390427</xdr:colOff>
      <xdr:row>2</xdr:row>
      <xdr:rowOff>32559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758F02-2A84-42B2-B805-229E1DF91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762624" y="34116"/>
          <a:ext cx="3733703" cy="1179543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59</xdr:row>
      <xdr:rowOff>0</xdr:rowOff>
    </xdr:from>
    <xdr:to>
      <xdr:col>10</xdr:col>
      <xdr:colOff>9524</xdr:colOff>
      <xdr:row>64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6399D07-0AA2-448C-AD39-2A5DC2857322}"/>
            </a:ext>
          </a:extLst>
        </xdr:cNvPr>
        <xdr:cNvSpPr txBox="1"/>
      </xdr:nvSpPr>
      <xdr:spPr>
        <a:xfrm>
          <a:off x="5162549" y="1247775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0</xdr:row>
      <xdr:rowOff>34116</xdr:rowOff>
    </xdr:from>
    <xdr:to>
      <xdr:col>9</xdr:col>
      <xdr:colOff>390427</xdr:colOff>
      <xdr:row>2</xdr:row>
      <xdr:rowOff>32559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53BF32-2078-4351-9EF2-2472A860E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762624" y="34116"/>
          <a:ext cx="3733703" cy="1179543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59</xdr:row>
      <xdr:rowOff>0</xdr:rowOff>
    </xdr:from>
    <xdr:to>
      <xdr:col>10</xdr:col>
      <xdr:colOff>9524</xdr:colOff>
      <xdr:row>64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902C6D0-F140-4ED5-B074-7B3DFC0FCE8D}"/>
            </a:ext>
          </a:extLst>
        </xdr:cNvPr>
        <xdr:cNvSpPr txBox="1"/>
      </xdr:nvSpPr>
      <xdr:spPr>
        <a:xfrm>
          <a:off x="5162549" y="1247775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0</xdr:row>
      <xdr:rowOff>34116</xdr:rowOff>
    </xdr:from>
    <xdr:to>
      <xdr:col>9</xdr:col>
      <xdr:colOff>390427</xdr:colOff>
      <xdr:row>2</xdr:row>
      <xdr:rowOff>32559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77825A-44F5-4F15-B107-0BC210DB1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762624" y="34116"/>
          <a:ext cx="3733703" cy="1179543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59</xdr:row>
      <xdr:rowOff>0</xdr:rowOff>
    </xdr:from>
    <xdr:to>
      <xdr:col>10</xdr:col>
      <xdr:colOff>9524</xdr:colOff>
      <xdr:row>64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E96DD26-E8F3-415B-B934-1E02092488D6}"/>
            </a:ext>
          </a:extLst>
        </xdr:cNvPr>
        <xdr:cNvSpPr txBox="1"/>
      </xdr:nvSpPr>
      <xdr:spPr>
        <a:xfrm>
          <a:off x="5162549" y="1247775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0</xdr:row>
      <xdr:rowOff>34116</xdr:rowOff>
    </xdr:from>
    <xdr:to>
      <xdr:col>9</xdr:col>
      <xdr:colOff>390427</xdr:colOff>
      <xdr:row>2</xdr:row>
      <xdr:rowOff>32559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3D279B-3865-4470-9B38-935B4C812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762624" y="34116"/>
          <a:ext cx="3733703" cy="1179543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59</xdr:row>
      <xdr:rowOff>0</xdr:rowOff>
    </xdr:from>
    <xdr:to>
      <xdr:col>10</xdr:col>
      <xdr:colOff>9524</xdr:colOff>
      <xdr:row>64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9DC8AB-3EFD-4C7A-8113-FF8CB7103F20}"/>
            </a:ext>
          </a:extLst>
        </xdr:cNvPr>
        <xdr:cNvSpPr txBox="1"/>
      </xdr:nvSpPr>
      <xdr:spPr>
        <a:xfrm>
          <a:off x="5162549" y="1247775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0</xdr:row>
      <xdr:rowOff>34116</xdr:rowOff>
    </xdr:from>
    <xdr:to>
      <xdr:col>9</xdr:col>
      <xdr:colOff>390427</xdr:colOff>
      <xdr:row>2</xdr:row>
      <xdr:rowOff>32559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BCE9E1-22D3-4F73-B68D-2D7972D68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762624" y="34116"/>
          <a:ext cx="3733703" cy="1179543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59</xdr:row>
      <xdr:rowOff>0</xdr:rowOff>
    </xdr:from>
    <xdr:to>
      <xdr:col>10</xdr:col>
      <xdr:colOff>9524</xdr:colOff>
      <xdr:row>64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3B60AB4-943D-469A-88FF-4C23BAEAA127}"/>
            </a:ext>
          </a:extLst>
        </xdr:cNvPr>
        <xdr:cNvSpPr txBox="1"/>
      </xdr:nvSpPr>
      <xdr:spPr>
        <a:xfrm>
          <a:off x="5162549" y="1247775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0</xdr:row>
      <xdr:rowOff>34116</xdr:rowOff>
    </xdr:from>
    <xdr:to>
      <xdr:col>9</xdr:col>
      <xdr:colOff>390427</xdr:colOff>
      <xdr:row>2</xdr:row>
      <xdr:rowOff>32559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2A02D5-3599-48C6-864A-2FFC72293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762624" y="34116"/>
          <a:ext cx="3733703" cy="1179543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59</xdr:row>
      <xdr:rowOff>0</xdr:rowOff>
    </xdr:from>
    <xdr:to>
      <xdr:col>10</xdr:col>
      <xdr:colOff>9524</xdr:colOff>
      <xdr:row>64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AA63BCC-370F-4D21-AB42-DC855691A01D}"/>
            </a:ext>
          </a:extLst>
        </xdr:cNvPr>
        <xdr:cNvSpPr txBox="1"/>
      </xdr:nvSpPr>
      <xdr:spPr>
        <a:xfrm>
          <a:off x="5162549" y="1247775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0</xdr:row>
      <xdr:rowOff>34116</xdr:rowOff>
    </xdr:from>
    <xdr:to>
      <xdr:col>9</xdr:col>
      <xdr:colOff>390427</xdr:colOff>
      <xdr:row>2</xdr:row>
      <xdr:rowOff>32559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E4BD76-C04F-4E81-960F-C425837D0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762624" y="34116"/>
          <a:ext cx="3733703" cy="1179543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59</xdr:row>
      <xdr:rowOff>0</xdr:rowOff>
    </xdr:from>
    <xdr:to>
      <xdr:col>10</xdr:col>
      <xdr:colOff>9524</xdr:colOff>
      <xdr:row>64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6CCDEB-ABA1-43C6-85B2-56BDAD85DB6E}"/>
            </a:ext>
          </a:extLst>
        </xdr:cNvPr>
        <xdr:cNvSpPr txBox="1"/>
      </xdr:nvSpPr>
      <xdr:spPr>
        <a:xfrm>
          <a:off x="5162549" y="1247775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0</xdr:row>
      <xdr:rowOff>34116</xdr:rowOff>
    </xdr:from>
    <xdr:to>
      <xdr:col>9</xdr:col>
      <xdr:colOff>390427</xdr:colOff>
      <xdr:row>2</xdr:row>
      <xdr:rowOff>32559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14A531-D56D-4ADC-AC50-3FFDBB984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762624" y="34116"/>
          <a:ext cx="3733703" cy="1179543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59</xdr:row>
      <xdr:rowOff>0</xdr:rowOff>
    </xdr:from>
    <xdr:to>
      <xdr:col>10</xdr:col>
      <xdr:colOff>9524</xdr:colOff>
      <xdr:row>64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FE9449-9C02-4BF6-8A4D-F1330CF655AC}"/>
            </a:ext>
          </a:extLst>
        </xdr:cNvPr>
        <xdr:cNvSpPr txBox="1"/>
      </xdr:nvSpPr>
      <xdr:spPr>
        <a:xfrm>
          <a:off x="5162549" y="1247775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0</xdr:row>
      <xdr:rowOff>34116</xdr:rowOff>
    </xdr:from>
    <xdr:to>
      <xdr:col>9</xdr:col>
      <xdr:colOff>390427</xdr:colOff>
      <xdr:row>2</xdr:row>
      <xdr:rowOff>32559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BE50DD-83FE-4624-BE5F-B54DFD9C6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762624" y="34116"/>
          <a:ext cx="3733703" cy="1179543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59</xdr:row>
      <xdr:rowOff>0</xdr:rowOff>
    </xdr:from>
    <xdr:to>
      <xdr:col>10</xdr:col>
      <xdr:colOff>9524</xdr:colOff>
      <xdr:row>64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C3EFDF-D3E4-4EE3-AC32-59CA57E70D24}"/>
            </a:ext>
          </a:extLst>
        </xdr:cNvPr>
        <xdr:cNvSpPr txBox="1"/>
      </xdr:nvSpPr>
      <xdr:spPr>
        <a:xfrm>
          <a:off x="5162549" y="1247775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0</xdr:row>
      <xdr:rowOff>34116</xdr:rowOff>
    </xdr:from>
    <xdr:to>
      <xdr:col>9</xdr:col>
      <xdr:colOff>390427</xdr:colOff>
      <xdr:row>2</xdr:row>
      <xdr:rowOff>32559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86DFF6-62CD-4CB0-8A3F-F806DECD0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762624" y="34116"/>
          <a:ext cx="3733703" cy="1179543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59</xdr:row>
      <xdr:rowOff>0</xdr:rowOff>
    </xdr:from>
    <xdr:to>
      <xdr:col>10</xdr:col>
      <xdr:colOff>9524</xdr:colOff>
      <xdr:row>64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EE34E5E-0045-4215-9B03-98A9D7F64994}"/>
            </a:ext>
          </a:extLst>
        </xdr:cNvPr>
        <xdr:cNvSpPr txBox="1"/>
      </xdr:nvSpPr>
      <xdr:spPr>
        <a:xfrm>
          <a:off x="5162549" y="1247775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0</xdr:row>
      <xdr:rowOff>34116</xdr:rowOff>
    </xdr:from>
    <xdr:to>
      <xdr:col>9</xdr:col>
      <xdr:colOff>390427</xdr:colOff>
      <xdr:row>2</xdr:row>
      <xdr:rowOff>32559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73FCA0-7993-4692-91E7-EC6B6B030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762624" y="34116"/>
          <a:ext cx="3733703" cy="1179543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59</xdr:row>
      <xdr:rowOff>0</xdr:rowOff>
    </xdr:from>
    <xdr:to>
      <xdr:col>10</xdr:col>
      <xdr:colOff>9524</xdr:colOff>
      <xdr:row>64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C4A0AA8-8A8B-4F5B-802F-DD502ADC8F6D}"/>
            </a:ext>
          </a:extLst>
        </xdr:cNvPr>
        <xdr:cNvSpPr txBox="1"/>
      </xdr:nvSpPr>
      <xdr:spPr>
        <a:xfrm>
          <a:off x="5162549" y="1247775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3:E24" totalsRowCount="1" headerRowDxfId="1583" dataDxfId="1582" totalsRowDxfId="1580" tableBorderDxfId="1581">
  <autoFilter ref="B13:E23" xr:uid="{00000000-0009-0000-0100-000001000000}"/>
  <tableColumns count="4">
    <tableColumn id="1" xr3:uid="{00000000-0010-0000-0000-000001000000}" name="HOUSING" totalsRowLabel="Total" dataDxfId="1579" totalsRowDxfId="1578"/>
    <tableColumn id="2" xr3:uid="{00000000-0010-0000-0000-000002000000}" name="Projected Cost" totalsRowFunction="sum" dataDxfId="1577" totalsRowDxfId="1576"/>
    <tableColumn id="3" xr3:uid="{00000000-0010-0000-0000-000003000000}" name="Actual Cost" totalsRowFunction="sum" dataDxfId="1575" totalsRowDxfId="1574"/>
    <tableColumn id="4" xr3:uid="{00000000-0010-0000-0000-000004000000}" name="Difference" totalsRowFunction="sum" dataDxfId="1573" totalsRowDxfId="1572">
      <calculatedColumnFormula>Table1[[#This Row],[Projected Cost]]-Table1[[#This Row],[Actual Cost]]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e7" displayName="Table7" ref="B57:E65" totalsRowCount="1" headerRowDxfId="1475" dataDxfId="1474" totalsRowDxfId="1472" tableBorderDxfId="1473">
  <autoFilter ref="B57:E64" xr:uid="{00000000-0009-0000-0100-000007000000}"/>
  <tableColumns count="4">
    <tableColumn id="1" xr3:uid="{00000000-0010-0000-0900-000001000000}" name="PERSONAL CARE" totalsRowLabel="Total" dataDxfId="1471" totalsRowDxfId="1470"/>
    <tableColumn id="2" xr3:uid="{00000000-0010-0000-0900-000002000000}" name="Projected Cost" totalsRowFunction="sum" dataDxfId="1469" totalsRowDxfId="1468"/>
    <tableColumn id="3" xr3:uid="{00000000-0010-0000-0900-000003000000}" name="Actual Cost" totalsRowFunction="sum" dataDxfId="1467" totalsRowDxfId="1466"/>
    <tableColumn id="4" xr3:uid="{00000000-0010-0000-0900-000004000000}" name="Difference" totalsRowFunction="sum" dataDxfId="1465" totalsRowDxfId="1464">
      <calculatedColumnFormula>Table7[[#This Row],[Projected Cost]]-Table7[[#This Row],[Actual Cost]]</calculatedColumnFormula>
    </tableColumn>
  </tableColumns>
  <tableStyleInfo name="TableStyleMedium23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2C05F331-49DC-411E-83C2-28CB06D1E601}" name="Table1134145156167178200222" displayName="Table1134145156167178200222" ref="B13:E24" totalsRowCount="1" headerRowDxfId="395" dataDxfId="394" totalsRowDxfId="392" tableBorderDxfId="393">
  <autoFilter ref="B13:E23" xr:uid="{00000000-0009-0000-0100-000001000000}"/>
  <tableColumns count="4">
    <tableColumn id="1" xr3:uid="{3FA7F79D-2A7C-4F77-9A6F-5ABB6BE6FD03}" name="HOUSING" totalsRowLabel="Total" dataDxfId="391" totalsRowDxfId="390"/>
    <tableColumn id="2" xr3:uid="{AF804DF5-5D38-4FF3-A842-1DD314D98FCF}" name="Projected Cost" totalsRowFunction="sum" dataDxfId="389" totalsRowDxfId="388"/>
    <tableColumn id="3" xr3:uid="{B0DD2ECC-3450-44FB-B5A3-C15B9CD299E3}" name="Actual Cost" totalsRowFunction="sum" dataDxfId="387" totalsRowDxfId="386"/>
    <tableColumn id="4" xr3:uid="{5929EA8B-4206-40CC-A34F-D77706B31AE9}" name="Difference" totalsRowFunction="sum" dataDxfId="385" totalsRowDxfId="384">
      <calculatedColumnFormula>Table1134145156167178200222[[#This Row],[Projected Cost]]-Table1134145156167178200222[[#This Row],[Actual Cost]]</calculatedColumnFormula>
    </tableColumn>
  </tableColumns>
  <tableStyleInfo name="TableStyleMedium23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811EFC80-49D1-4C9B-8E07-23C1B1931D60}" name="Table4135146157168179201223" displayName="Table4135146157168179201223" ref="B36:E41" totalsRowCount="1" headerRowDxfId="383" dataDxfId="382" totalsRowDxfId="380" tableBorderDxfId="381">
  <autoFilter ref="B36:E40" xr:uid="{00000000-0009-0000-0100-000004000000}"/>
  <tableColumns count="4">
    <tableColumn id="1" xr3:uid="{7496BEA9-93A2-40B4-A3BE-4AD77DFE0886}" name="INSURANCE" totalsRowLabel="Total" dataDxfId="379" totalsRowDxfId="378"/>
    <tableColumn id="2" xr3:uid="{4CAC090B-DFDC-40ED-866D-772482FEADAC}" name="Projected Cost" totalsRowFunction="sum" dataDxfId="377" totalsRowDxfId="376"/>
    <tableColumn id="3" xr3:uid="{5518ED07-94BD-47F8-8A3C-ABE92960E5E9}" name="Actual Cost" totalsRowFunction="sum" dataDxfId="375" totalsRowDxfId="374"/>
    <tableColumn id="4" xr3:uid="{DC2B1313-723F-4A1A-B572-76EA59D62910}" name="Difference" totalsRowFunction="sum" dataDxfId="373" totalsRowDxfId="372">
      <calculatedColumnFormula>Table4135146157168179201223[[#This Row],[Projected Cost]]-Table4135146157168179201223[[#This Row],[Actual Cost]]</calculatedColumnFormula>
    </tableColumn>
  </tableColumns>
  <tableStyleInfo name="TableStyleMedium23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A6BFE2DE-65EE-4F94-B164-F7D446F4739B}" name="Table6136147158169180202224" displayName="Table6136147158169180202224" ref="B49:E55" totalsRowCount="1" headerRowDxfId="371" dataDxfId="370" totalsRowDxfId="368" tableBorderDxfId="369">
  <autoFilter ref="B49:E54" xr:uid="{00000000-0009-0000-0100-000006000000}"/>
  <tableColumns count="4">
    <tableColumn id="1" xr3:uid="{3D5C73B1-79E7-49B3-AF2F-0097CA8EF66C}" name="PETS" totalsRowLabel="Total" dataDxfId="367" totalsRowDxfId="366"/>
    <tableColumn id="2" xr3:uid="{74C1A253-0269-479F-BBC6-6DABF2EFA73F}" name="Projected Cost" totalsRowFunction="sum" dataDxfId="365" totalsRowDxfId="364"/>
    <tableColumn id="3" xr3:uid="{215F8DA2-700C-47DC-95E2-DC3ADCCECB65}" name="Actual Cost" totalsRowFunction="sum" dataDxfId="363" totalsRowDxfId="362"/>
    <tableColumn id="4" xr3:uid="{FC6EE580-D7F9-40F8-90D8-E1AC3743D296}" name="Difference" totalsRowFunction="sum" dataDxfId="361" totalsRowDxfId="360">
      <calculatedColumnFormula>Table6136147158169180202224[[#This Row],[Projected Cost]]-Table6136147158169180202224[[#This Row],[Actual Cost]]</calculatedColumnFormula>
    </tableColumn>
  </tableColumns>
  <tableStyleInfo name="TableStyleMedium23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53993A88-7995-4CB5-95A5-3FD092C1B17A}" name="Table11137148159170181203225" displayName="Table11137148159170181203225" ref="G47:J51" totalsRowCount="1" headerRowDxfId="359" dataDxfId="358" totalsRowDxfId="356" tableBorderDxfId="357">
  <autoFilter ref="G47:J50" xr:uid="{00000000-0009-0000-0100-00000B000000}"/>
  <tableColumns count="4">
    <tableColumn id="1" xr3:uid="{22E226E5-E775-44FE-9E1E-4F5DC0183289}" name="GIFTS AND DONATIONS" totalsRowLabel="Total" dataDxfId="355" totalsRowDxfId="354"/>
    <tableColumn id="2" xr3:uid="{7D822F45-C363-4C2B-AC84-E22EEB2ACA5E}" name="Projected Cost" totalsRowFunction="sum" dataDxfId="353" totalsRowDxfId="352"/>
    <tableColumn id="3" xr3:uid="{8416E660-B30E-4809-8066-140973519C50}" name="Actual Cost" totalsRowFunction="sum" dataDxfId="351" totalsRowDxfId="350"/>
    <tableColumn id="4" xr3:uid="{6377291B-74C6-4BFC-9102-295C755FBCFA}" name="Difference" totalsRowFunction="sum" dataDxfId="349" totalsRowDxfId="348">
      <calculatedColumnFormula>Table11137148159170181203225[[#This Row],[Projected Cost]]-Table11137148159170181203225[[#This Row],[Actual Cost]]</calculatedColumnFormula>
    </tableColumn>
  </tableColumns>
  <tableStyleInfo name="TableStyleMedium23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4412BE22-925C-4FCB-BE52-BF55B4B3693A}" name="Table5138149160171182204226" displayName="Table5138149160171182204226" ref="B43:E47" totalsRowCount="1" headerRowDxfId="347" dataDxfId="346" totalsRowDxfId="344" tableBorderDxfId="345">
  <autoFilter ref="B43:E46" xr:uid="{00000000-0009-0000-0100-000005000000}"/>
  <tableColumns count="4">
    <tableColumn id="1" xr3:uid="{EF0A2AC4-FFFC-4009-A5D8-07BCE707BF5A}" name="FOOD" totalsRowLabel="Total" dataDxfId="343" totalsRowDxfId="342"/>
    <tableColumn id="2" xr3:uid="{7B55AB0E-F430-43A3-95BE-8D8A2D854D4F}" name="Projected Cost" totalsRowFunction="sum" dataDxfId="341" totalsRowDxfId="340"/>
    <tableColumn id="3" xr3:uid="{90B8F9F9-F9CA-49A1-A60C-A89FB1A0C7C7}" name="Actual Cost" totalsRowFunction="sum" dataDxfId="339" totalsRowDxfId="338"/>
    <tableColumn id="4" xr3:uid="{6CC88462-9F79-43D0-9848-844BF108ED3A}" name="Difference" totalsRowFunction="sum" dataDxfId="337" totalsRowDxfId="336">
      <calculatedColumnFormula>Table5138149160171182204226[[#This Row],[Projected Cost]]-Table5138149160171182204226[[#This Row],[Actual Cost]]</calculatedColumnFormula>
    </tableColumn>
  </tableColumns>
  <tableStyleInfo name="TableStyleMedium23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6" xr:uid="{F275CE6A-075D-4590-886E-D70D9D4D1503}" name="Table9139150161172183205227" displayName="Table9139150161172183205227" ref="G34:J39" totalsRowCount="1" headerRowDxfId="335" dataDxfId="334" totalsRowDxfId="332" tableBorderDxfId="333">
  <autoFilter ref="G34:J38" xr:uid="{00000000-0009-0000-0100-000009000000}"/>
  <tableColumns count="4">
    <tableColumn id="1" xr3:uid="{212335FF-2479-45D5-B110-1036C6FA77A7}" name="Other" totalsRowLabel="Total" dataDxfId="331" totalsRowDxfId="330"/>
    <tableColumn id="2" xr3:uid="{0902F474-B79C-4DA2-9ADB-FC145D86E778}" name="Projected Cost" totalsRowFunction="sum" dataDxfId="329" totalsRowDxfId="328"/>
    <tableColumn id="3" xr3:uid="{867771AA-0ABC-46F1-9410-409831A973A3}" name="Actual Cost" totalsRowFunction="sum" dataDxfId="327" totalsRowDxfId="326"/>
    <tableColumn id="4" xr3:uid="{2E899341-28CC-4296-88C1-8BC9E373437C}" name="Difference" totalsRowFunction="sum" dataDxfId="325" totalsRowDxfId="324">
      <calculatedColumnFormula>Table9139150161172183205227[[#This Row],[Projected Cost]]-Table9139150161172183205227[[#This Row],[Actual Cost]]</calculatedColumnFormula>
    </tableColumn>
  </tableColumns>
  <tableStyleInfo name="TableStyleMedium23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" xr:uid="{CDF47FE7-8AA0-405C-9731-3A9BF2ADB9A4}" name="Table3140151162173184206228" displayName="Table3140151162173184206228" ref="B26:E34" totalsRowCount="1" headerRowDxfId="323" dataDxfId="322" totalsRowDxfId="320" tableBorderDxfId="321">
  <autoFilter ref="B26:E33" xr:uid="{00000000-0009-0000-0100-000003000000}"/>
  <tableColumns count="4">
    <tableColumn id="1" xr3:uid="{F1B9B388-F1D8-4EEA-A9DB-65DA6B49C38C}" name="TRANSPORTATION" totalsRowLabel="Total" dataDxfId="319" totalsRowDxfId="318"/>
    <tableColumn id="2" xr3:uid="{421F02EE-47B9-4CAC-BA84-322922CF88AA}" name="Projected Cost" totalsRowFunction="sum" dataDxfId="317" totalsRowDxfId="316"/>
    <tableColumn id="3" xr3:uid="{471C7B75-0B1C-4453-A997-FB0BC66F3A6C}" name="Actual Cost" totalsRowFunction="sum" dataDxfId="315" totalsRowDxfId="314"/>
    <tableColumn id="4" xr3:uid="{5C0B5CFE-3E3F-4B69-870F-308D3C011EB8}" name="Difference" totalsRowFunction="sum" dataDxfId="313" totalsRowDxfId="312">
      <calculatedColumnFormula>Table3140151162173184206228[[#This Row],[Projected Cost]]-Table3140151162173184206228[[#This Row],[Actual Cost]]</calculatedColumnFormula>
    </tableColumn>
  </tableColumns>
  <tableStyleInfo name="TableStyleMedium23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8" xr:uid="{D051BA11-5E39-4877-98D0-EE4D76606A15}" name="Table8141152163174185207229" displayName="Table8141152163174185207229" ref="G25:J32" totalsRowCount="1" headerRowDxfId="311" dataDxfId="310" totalsRowDxfId="308" tableBorderDxfId="309">
  <autoFilter ref="G25:J31" xr:uid="{00000000-0009-0000-0100-000008000000}"/>
  <tableColumns count="4">
    <tableColumn id="1" xr3:uid="{F677DCC5-011A-465C-99D6-B38175492A64}" name="LOANS/DEBT" totalsRowLabel="Total" dataDxfId="307" totalsRowDxfId="306"/>
    <tableColumn id="2" xr3:uid="{09EF58A6-1C94-4B0A-A51F-F4B1710A23EC}" name="Projected Cost" totalsRowFunction="sum" dataDxfId="305" totalsRowDxfId="304"/>
    <tableColumn id="3" xr3:uid="{E1AE49AC-9B1E-4E4A-9A21-D7160938E791}" name="Actual Cost" totalsRowFunction="sum" dataDxfId="303" totalsRowDxfId="302"/>
    <tableColumn id="4" xr3:uid="{CD5477E3-1102-4771-8624-CF546BE90734}" name="Difference" totalsRowFunction="sum" dataDxfId="301" totalsRowDxfId="300">
      <calculatedColumnFormula>Table8141152163174185207229[[#This Row],[Projected Cost]]-Table8141152163174185207229[[#This Row],[Actual Cost]]</calculatedColumnFormula>
    </tableColumn>
  </tableColumns>
  <tableStyleInfo name="TableStyleMedium23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9" xr:uid="{CA34B751-0879-4154-8339-26E99E7939CE}" name="Table10142153164175186208230" displayName="Table10142153164175186208230" ref="G41:J45" totalsRowCount="1" headerRowDxfId="299" dataDxfId="298" totalsRowDxfId="296" tableBorderDxfId="297">
  <autoFilter ref="G41:J44" xr:uid="{00000000-0009-0000-0100-00000A000000}"/>
  <tableColumns count="4">
    <tableColumn id="1" xr3:uid="{F1C14C48-E8B7-46E2-9C70-4913DC474970}" name="SAVINGS OR INVESTMENTS" totalsRowLabel="Total" dataDxfId="295" totalsRowDxfId="294"/>
    <tableColumn id="2" xr3:uid="{9B242EBE-A835-4002-B90E-51EC3275EF63}" name="Projected Cost" totalsRowFunction="sum" dataDxfId="293" totalsRowDxfId="292"/>
    <tableColumn id="3" xr3:uid="{A5BDFE03-91D8-4E9B-959C-E7FD561DE1D6}" name="Actual Cost" totalsRowFunction="sum" dataDxfId="291" totalsRowDxfId="290"/>
    <tableColumn id="4" xr3:uid="{11D63438-B47C-4642-AF3A-AA5B03C53E02}" name="Difference" totalsRowFunction="sum" dataDxfId="289" totalsRowDxfId="288">
      <calculatedColumnFormula>Table10142153164175186208230[[#This Row],[Projected Cost]]-Table10142153164175186208230[[#This Row],[Actual Cost]]</calculatedColumnFormula>
    </tableColumn>
  </tableColumns>
  <tableStyleInfo name="TableStyleMedium23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0" xr:uid="{12305584-8C9B-4381-A3A5-543BE59879AB}" name="Table7143154165176187209231" displayName="Table7143154165176187209231" ref="B57:E65" totalsRowCount="1" headerRowDxfId="287" dataDxfId="286" totalsRowDxfId="284" tableBorderDxfId="285">
  <autoFilter ref="B57:E64" xr:uid="{00000000-0009-0000-0100-000007000000}"/>
  <tableColumns count="4">
    <tableColumn id="1" xr3:uid="{18EEA62D-14BB-44FA-B8C2-74CA15C50E99}" name="PERSONAL CARE" totalsRowLabel="Total" dataDxfId="283" totalsRowDxfId="282"/>
    <tableColumn id="2" xr3:uid="{770DD649-F007-4042-85E7-BE6A434936F3}" name="Projected Cost" totalsRowFunction="sum" dataDxfId="281" totalsRowDxfId="280"/>
    <tableColumn id="3" xr3:uid="{0168AA20-1991-4404-B82E-060EB16B841C}" name="Actual Cost" totalsRowFunction="sum" dataDxfId="279" totalsRowDxfId="278"/>
    <tableColumn id="4" xr3:uid="{5B09BDBA-A216-4D40-8D13-93BEFAB95572}" name="Difference" totalsRowFunction="sum" dataDxfId="277" totalsRowDxfId="276">
      <calculatedColumnFormula>Table7143154165176187209231[[#This Row],[Projected Cost]]-Table7143154165176187209231[[#This Row],[Actual Cost]]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A000000}" name="Table2" displayName="Table2" ref="G13:J23" totalsRowCount="1" headerRowDxfId="1463" dataDxfId="1462" totalsRowDxfId="1460" tableBorderDxfId="1461">
  <autoFilter ref="G13:J22" xr:uid="{00000000-0009-0000-0100-000002000000}"/>
  <tableColumns count="4">
    <tableColumn id="1" xr3:uid="{00000000-0010-0000-0A00-000001000000}" name="ENTERTAINMENT" totalsRowLabel="Total" dataDxfId="1459" totalsRowDxfId="1458"/>
    <tableColumn id="2" xr3:uid="{00000000-0010-0000-0A00-000002000000}" name="Projected Cost" totalsRowFunction="sum" dataDxfId="1457" totalsRowDxfId="1456"/>
    <tableColumn id="3" xr3:uid="{00000000-0010-0000-0A00-000003000000}" name="Actual Cost" totalsRowFunction="sum" dataDxfId="1455" totalsRowDxfId="1454"/>
    <tableColumn id="4" xr3:uid="{00000000-0010-0000-0A00-000004000000}" name="Difference" totalsRowFunction="sum" dataDxfId="1453" totalsRowDxfId="1452">
      <calculatedColumnFormula>Table2[[#This Row],[Projected Cost]]-Table2[[#This Row],[Actual Cost]]</calculatedColumnFormula>
    </tableColumn>
  </tableColumns>
  <tableStyleInfo name="TableStyleMedium23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1" xr:uid="{D965ED3B-C059-4994-A074-00DB5B3AE7AE}" name="Table2144155166177188210232" displayName="Table2144155166177188210232" ref="G13:J23" totalsRowCount="1" headerRowDxfId="275" dataDxfId="274" totalsRowDxfId="272" tableBorderDxfId="273">
  <autoFilter ref="G13:J22" xr:uid="{00000000-0009-0000-0100-000002000000}"/>
  <tableColumns count="4">
    <tableColumn id="1" xr3:uid="{B2AE9BA2-B8A4-4408-AFE1-B37261100C54}" name="ENTERTAINMENT" totalsRowLabel="Total" dataDxfId="271" totalsRowDxfId="270"/>
    <tableColumn id="2" xr3:uid="{EA898CC5-47A7-4148-91D3-C3491C57B1C8}" name="Projected Cost" totalsRowFunction="sum" dataDxfId="269" totalsRowDxfId="268"/>
    <tableColumn id="3" xr3:uid="{CBB8DBA1-AD89-4955-9606-2543D3849F79}" name="Actual Cost" totalsRowFunction="sum" dataDxfId="267" totalsRowDxfId="266"/>
    <tableColumn id="4" xr3:uid="{1812F12E-A327-4C89-8C2A-F8A918AD198C}" name="Difference" totalsRowFunction="sum" dataDxfId="265" totalsRowDxfId="264">
      <calculatedColumnFormula>Table2144155166177188210232[[#This Row],[Projected Cost]]-Table2144155166177188210232[[#This Row],[Actual Cost]]</calculatedColumnFormula>
    </tableColumn>
  </tableColumns>
  <tableStyleInfo name="TableStyleMedium23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2" xr:uid="{FCA12B70-430A-4F89-8266-408D53CD0DEC}" name="Table1134145156167178200222233" displayName="Table1134145156167178200222233" ref="B13:E24" totalsRowCount="1" headerRowDxfId="263" dataDxfId="262" totalsRowDxfId="260" tableBorderDxfId="261">
  <autoFilter ref="B13:E23" xr:uid="{00000000-0009-0000-0100-000001000000}"/>
  <tableColumns count="4">
    <tableColumn id="1" xr3:uid="{4A83E754-2809-4D55-A6B9-60E8D8B713C0}" name="HOUSING" totalsRowLabel="Total" dataDxfId="259" totalsRowDxfId="258"/>
    <tableColumn id="2" xr3:uid="{73253B71-DA48-4917-B080-3845FC844F1A}" name="Projected Cost" totalsRowFunction="sum" dataDxfId="257" totalsRowDxfId="256"/>
    <tableColumn id="3" xr3:uid="{6C02237A-50B5-4F32-9FDC-9E4158577926}" name="Actual Cost" totalsRowFunction="sum" dataDxfId="255" totalsRowDxfId="254"/>
    <tableColumn id="4" xr3:uid="{E0EFC30B-4833-4767-B7DD-9DC603EF4FF9}" name="Difference" totalsRowFunction="sum" dataDxfId="253" totalsRowDxfId="252">
      <calculatedColumnFormula>Table1134145156167178200222233[[#This Row],[Projected Cost]]-Table1134145156167178200222233[[#This Row],[Actual Cost]]</calculatedColumnFormula>
    </tableColumn>
  </tableColumns>
  <tableStyleInfo name="TableStyleMedium23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3" xr:uid="{BA86FB39-5BF9-44C4-BF65-BDD42BF70329}" name="Table4135146157168179201223234" displayName="Table4135146157168179201223234" ref="B36:E41" totalsRowCount="1" headerRowDxfId="251" dataDxfId="250" totalsRowDxfId="248" tableBorderDxfId="249">
  <autoFilter ref="B36:E40" xr:uid="{00000000-0009-0000-0100-000004000000}"/>
  <tableColumns count="4">
    <tableColumn id="1" xr3:uid="{0B8CA388-8A2E-44FB-AD2D-3183E7FEF8D2}" name="INSURANCE" totalsRowLabel="Total" dataDxfId="247" totalsRowDxfId="246"/>
    <tableColumn id="2" xr3:uid="{05824F61-1944-401E-9941-9873BBA01E88}" name="Projected Cost" totalsRowFunction="sum" dataDxfId="245" totalsRowDxfId="244"/>
    <tableColumn id="3" xr3:uid="{7AD756DB-8831-4205-B30D-F0F09DA11D8E}" name="Actual Cost" totalsRowFunction="sum" dataDxfId="243" totalsRowDxfId="242"/>
    <tableColumn id="4" xr3:uid="{4DE1E93A-5557-4507-8267-0F65298A39AA}" name="Difference" totalsRowFunction="sum" dataDxfId="241" totalsRowDxfId="240">
      <calculatedColumnFormula>Table4135146157168179201223234[[#This Row],[Projected Cost]]-Table4135146157168179201223234[[#This Row],[Actual Cost]]</calculatedColumnFormula>
    </tableColumn>
  </tableColumns>
  <tableStyleInfo name="TableStyleMedium23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4" xr:uid="{72F59707-A2AA-4F86-9B77-C1DE5CA3ACE3}" name="Table6136147158169180202224235" displayName="Table6136147158169180202224235" ref="B49:E55" totalsRowCount="1" headerRowDxfId="239" dataDxfId="238" totalsRowDxfId="236" tableBorderDxfId="237">
  <autoFilter ref="B49:E54" xr:uid="{00000000-0009-0000-0100-000006000000}"/>
  <tableColumns count="4">
    <tableColumn id="1" xr3:uid="{F5F07310-CB3C-484C-AA41-1D0802FDB123}" name="PETS" totalsRowLabel="Total" dataDxfId="235" totalsRowDxfId="234"/>
    <tableColumn id="2" xr3:uid="{52BDE750-2EAF-4711-A33B-90A50CA0FB54}" name="Projected Cost" totalsRowFunction="sum" dataDxfId="233" totalsRowDxfId="232"/>
    <tableColumn id="3" xr3:uid="{FBEFEC40-22AF-4852-98AB-0F96EC7BCAF3}" name="Actual Cost" totalsRowFunction="sum" dataDxfId="231" totalsRowDxfId="230"/>
    <tableColumn id="4" xr3:uid="{14C1E80E-25D7-4639-9DE0-93DD8E62576E}" name="Difference" totalsRowFunction="sum" dataDxfId="229" totalsRowDxfId="228">
      <calculatedColumnFormula>Table6136147158169180202224235[[#This Row],[Projected Cost]]-Table6136147158169180202224235[[#This Row],[Actual Cost]]</calculatedColumnFormula>
    </tableColumn>
  </tableColumns>
  <tableStyleInfo name="TableStyleMedium23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C6FFDA6D-2267-43EE-9727-1869A3AB7F0B}" name="Table11137148159170181203225236" displayName="Table11137148159170181203225236" ref="G47:J51" totalsRowCount="1" headerRowDxfId="227" dataDxfId="226" totalsRowDxfId="224" tableBorderDxfId="225">
  <autoFilter ref="G47:J50" xr:uid="{00000000-0009-0000-0100-00000B000000}"/>
  <tableColumns count="4">
    <tableColumn id="1" xr3:uid="{0E797427-8EF9-43FF-B2C1-DF7999DDAAA5}" name="GIFTS AND DONATIONS" totalsRowLabel="Total" dataDxfId="223" totalsRowDxfId="222"/>
    <tableColumn id="2" xr3:uid="{4DECBCFD-35ED-4797-A507-3FFAE89C6363}" name="Projected Cost" totalsRowFunction="sum" dataDxfId="221" totalsRowDxfId="220"/>
    <tableColumn id="3" xr3:uid="{CC1ACCA9-5974-4390-A83F-3511C4B3A33B}" name="Actual Cost" totalsRowFunction="sum" dataDxfId="219" totalsRowDxfId="218"/>
    <tableColumn id="4" xr3:uid="{FCC40152-4DF2-4EB6-BD47-7E2676D9E27B}" name="Difference" totalsRowFunction="sum" dataDxfId="217" totalsRowDxfId="216">
      <calculatedColumnFormula>Table11137148159170181203225236[[#This Row],[Projected Cost]]-Table11137148159170181203225236[[#This Row],[Actual Cost]]</calculatedColumnFormula>
    </tableColumn>
  </tableColumns>
  <tableStyleInfo name="TableStyleMedium23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6" xr:uid="{2DCA1547-499F-4652-97DA-3C07FA7D3F75}" name="Table5138149160171182204226237" displayName="Table5138149160171182204226237" ref="B43:E47" totalsRowCount="1" headerRowDxfId="215" dataDxfId="214" totalsRowDxfId="212" tableBorderDxfId="213">
  <autoFilter ref="B43:E46" xr:uid="{00000000-0009-0000-0100-000005000000}"/>
  <tableColumns count="4">
    <tableColumn id="1" xr3:uid="{BECFAC94-21CA-4256-BE0D-4C8D8F8D5976}" name="FOOD" totalsRowLabel="Total" dataDxfId="211" totalsRowDxfId="210"/>
    <tableColumn id="2" xr3:uid="{17D4CF97-BAE8-4FBE-8FA8-50FEF1EB1107}" name="Projected Cost" totalsRowFunction="sum" dataDxfId="209" totalsRowDxfId="208"/>
    <tableColumn id="3" xr3:uid="{6D10A50E-8EBE-4CBA-AF71-2C78394F13A6}" name="Actual Cost" totalsRowFunction="sum" dataDxfId="207" totalsRowDxfId="206"/>
    <tableColumn id="4" xr3:uid="{FD40F688-E14E-4BD2-A0C1-A1E24003B255}" name="Difference" totalsRowFunction="sum" dataDxfId="205" totalsRowDxfId="204">
      <calculatedColumnFormula>Table5138149160171182204226237[[#This Row],[Projected Cost]]-Table5138149160171182204226237[[#This Row],[Actual Cost]]</calculatedColumnFormula>
    </tableColumn>
  </tableColumns>
  <tableStyleInfo name="TableStyleMedium23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7" xr:uid="{333E7CE0-A286-48BA-BEFC-3357347B3AC8}" name="Table9139150161172183205227238" displayName="Table9139150161172183205227238" ref="G34:J39" totalsRowCount="1" headerRowDxfId="203" dataDxfId="202" totalsRowDxfId="200" tableBorderDxfId="201">
  <autoFilter ref="G34:J38" xr:uid="{00000000-0009-0000-0100-000009000000}"/>
  <tableColumns count="4">
    <tableColumn id="1" xr3:uid="{3B9642E9-E3C3-496F-BB92-CCEF6DB708E4}" name="Other" totalsRowLabel="Total" dataDxfId="199" totalsRowDxfId="198"/>
    <tableColumn id="2" xr3:uid="{DB315720-CB13-49D3-946A-07390E1E9946}" name="Projected Cost" totalsRowFunction="sum" dataDxfId="197" totalsRowDxfId="196"/>
    <tableColumn id="3" xr3:uid="{88B14AA2-DF99-433C-9369-106C65B2242F}" name="Actual Cost" totalsRowFunction="sum" dataDxfId="195" totalsRowDxfId="194"/>
    <tableColumn id="4" xr3:uid="{C77BFFAF-8497-4F05-AAD7-6AFE3EEE4165}" name="Difference" totalsRowFunction="sum" dataDxfId="193" totalsRowDxfId="192">
      <calculatedColumnFormula>Table9139150161172183205227238[[#This Row],[Projected Cost]]-Table9139150161172183205227238[[#This Row],[Actual Cost]]</calculatedColumnFormula>
    </tableColumn>
  </tableColumns>
  <tableStyleInfo name="TableStyleMedium23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8" xr:uid="{E48CC455-F8E4-474C-A146-83DDBEEBB804}" name="Table3140151162173184206228239" displayName="Table3140151162173184206228239" ref="B26:E34" totalsRowCount="1" headerRowDxfId="191" dataDxfId="190" totalsRowDxfId="188" tableBorderDxfId="189">
  <autoFilter ref="B26:E33" xr:uid="{00000000-0009-0000-0100-000003000000}"/>
  <tableColumns count="4">
    <tableColumn id="1" xr3:uid="{8975F54D-9629-41E5-B680-DC030D91D38C}" name="TRANSPORTATION" totalsRowLabel="Total" dataDxfId="187" totalsRowDxfId="186"/>
    <tableColumn id="2" xr3:uid="{3368B124-74F3-413C-B5E3-166A4A470172}" name="Projected Cost" totalsRowFunction="sum" dataDxfId="185" totalsRowDxfId="184"/>
    <tableColumn id="3" xr3:uid="{8D58E732-465C-4DF0-B9BA-12C9DDA76C12}" name="Actual Cost" totalsRowFunction="sum" dataDxfId="183" totalsRowDxfId="182"/>
    <tableColumn id="4" xr3:uid="{F3CE7AE5-A4EA-40F0-B267-4D1A2950BDD3}" name="Difference" totalsRowFunction="sum" dataDxfId="181" totalsRowDxfId="180">
      <calculatedColumnFormula>Table3140151162173184206228239[[#This Row],[Projected Cost]]-Table3140151162173184206228239[[#This Row],[Actual Cost]]</calculatedColumnFormula>
    </tableColumn>
  </tableColumns>
  <tableStyleInfo name="TableStyleMedium23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9" xr:uid="{E6E2068B-A1D5-4BB3-BC3E-DEC6440A7B3F}" name="Table8141152163174185207229240" displayName="Table8141152163174185207229240" ref="G25:J32" totalsRowCount="1" headerRowDxfId="179" dataDxfId="178" totalsRowDxfId="176" tableBorderDxfId="177">
  <autoFilter ref="G25:J31" xr:uid="{00000000-0009-0000-0100-000008000000}"/>
  <tableColumns count="4">
    <tableColumn id="1" xr3:uid="{449E38A1-47EB-4CDC-8862-46761733FEDE}" name="LOANS/DEBT" totalsRowLabel="Total" dataDxfId="175" totalsRowDxfId="174"/>
    <tableColumn id="2" xr3:uid="{22875F29-D31E-4185-9605-714148D88A11}" name="Projected Cost" totalsRowFunction="sum" dataDxfId="173" totalsRowDxfId="172"/>
    <tableColumn id="3" xr3:uid="{4E89A93C-22B0-43A7-835C-F074A57FDCDE}" name="Actual Cost" totalsRowFunction="sum" dataDxfId="171" totalsRowDxfId="170"/>
    <tableColumn id="4" xr3:uid="{3E05212F-5ABF-47E3-8302-B722E9119CF4}" name="Difference" totalsRowFunction="sum" dataDxfId="169" totalsRowDxfId="168">
      <calculatedColumnFormula>Table8141152163174185207229240[[#This Row],[Projected Cost]]-Table8141152163174185207229240[[#This Row],[Actual Cost]]</calculatedColumnFormula>
    </tableColumn>
  </tableColumns>
  <tableStyleInfo name="TableStyleMedium23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0" xr:uid="{E6B79C39-5742-490A-9072-E989E79ABBEF}" name="Table10142153164175186208230241" displayName="Table10142153164175186208230241" ref="G41:J45" totalsRowCount="1" headerRowDxfId="167" dataDxfId="166" totalsRowDxfId="164" tableBorderDxfId="165">
  <autoFilter ref="G41:J44" xr:uid="{00000000-0009-0000-0100-00000A000000}"/>
  <tableColumns count="4">
    <tableColumn id="1" xr3:uid="{BAFC9A2E-2AD5-4CFB-8324-3991D61EBFF9}" name="SAVINGS OR INVESTMENTS" totalsRowLabel="Total" dataDxfId="163" totalsRowDxfId="162"/>
    <tableColumn id="2" xr3:uid="{040C1862-F6D2-4C36-8434-B8F182276726}" name="Projected Cost" totalsRowFunction="sum" dataDxfId="161" totalsRowDxfId="160"/>
    <tableColumn id="3" xr3:uid="{9D85FB08-CA48-420D-A3FC-E492051B098C}" name="Actual Cost" totalsRowFunction="sum" dataDxfId="159" totalsRowDxfId="158"/>
    <tableColumn id="4" xr3:uid="{1B2D9950-F64C-44D8-B6B7-C8F6F3C06DF7}" name="Difference" totalsRowFunction="sum" dataDxfId="157" totalsRowDxfId="156">
      <calculatedColumnFormula>Table10142153164175186208230241[[#This Row],[Projected Cost]]-Table10142153164175186208230241[[#This Row],[Actual Cost]]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DBC105CC-B5C1-4A8D-B1C9-86B66C0A582D}" name="Table1134" displayName="Table1134" ref="B13:E24" totalsRowCount="1" headerRowDxfId="1451" dataDxfId="1450" totalsRowDxfId="1448" tableBorderDxfId="1449">
  <autoFilter ref="B13:E23" xr:uid="{00000000-0009-0000-0100-000001000000}"/>
  <tableColumns count="4">
    <tableColumn id="1" xr3:uid="{EBB25294-04C2-4F67-8EC1-15EF07195B54}" name="HOUSING" totalsRowLabel="Total" dataDxfId="1447" totalsRowDxfId="1446"/>
    <tableColumn id="2" xr3:uid="{AB696B80-42BD-43FA-A5C4-D09C6775545A}" name="Projected Cost" totalsRowFunction="sum" dataDxfId="1445" totalsRowDxfId="1444"/>
    <tableColumn id="3" xr3:uid="{97D21746-1323-4343-96B0-BE0844079081}" name="Actual Cost" totalsRowFunction="sum" dataDxfId="1443" totalsRowDxfId="1442"/>
    <tableColumn id="4" xr3:uid="{1034C891-4219-4E3D-A247-590BF7AAFC30}" name="Difference" totalsRowFunction="sum" dataDxfId="1441" totalsRowDxfId="1440">
      <calculatedColumnFormula>Table1134[[#This Row],[Projected Cost]]-Table1134[[#This Row],[Actual Cost]]</calculatedColumnFormula>
    </tableColumn>
  </tableColumns>
  <tableStyleInfo name="TableStyleMedium23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1" xr:uid="{2F209FC9-6C46-4518-9EFC-E733AB712016}" name="Table7143154165176187209231242" displayName="Table7143154165176187209231242" ref="B57:E65" totalsRowCount="1" headerRowDxfId="155" dataDxfId="154" totalsRowDxfId="152" tableBorderDxfId="153">
  <autoFilter ref="B57:E64" xr:uid="{00000000-0009-0000-0100-000007000000}"/>
  <tableColumns count="4">
    <tableColumn id="1" xr3:uid="{6981D6BC-8C8A-4077-9BD5-CD35BF435326}" name="PERSONAL CARE" totalsRowLabel="Total" dataDxfId="151" totalsRowDxfId="150"/>
    <tableColumn id="2" xr3:uid="{D3854A0E-E880-4807-B5D1-2F5BFEA5647D}" name="Projected Cost" totalsRowFunction="sum" dataDxfId="149" totalsRowDxfId="148"/>
    <tableColumn id="3" xr3:uid="{1B534375-2E07-4BC4-AC8D-FF25574AC867}" name="Actual Cost" totalsRowFunction="sum" dataDxfId="147" totalsRowDxfId="146"/>
    <tableColumn id="4" xr3:uid="{0465B496-C8B5-4211-900E-E6B00512E21D}" name="Difference" totalsRowFunction="sum" dataDxfId="145" totalsRowDxfId="144">
      <calculatedColumnFormula>Table7143154165176187209231242[[#This Row],[Projected Cost]]-Table7143154165176187209231242[[#This Row],[Actual Cost]]</calculatedColumnFormula>
    </tableColumn>
  </tableColumns>
  <tableStyleInfo name="TableStyleMedium23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2" xr:uid="{04249BD3-121E-4B8F-956F-2F840F481FF4}" name="Table2144155166177188210232243" displayName="Table2144155166177188210232243" ref="G13:J23" totalsRowCount="1" headerRowDxfId="143" dataDxfId="142" totalsRowDxfId="140" tableBorderDxfId="141">
  <autoFilter ref="G13:J22" xr:uid="{00000000-0009-0000-0100-000002000000}"/>
  <tableColumns count="4">
    <tableColumn id="1" xr3:uid="{DFB83598-9DEE-4A94-84DB-49295A42A319}" name="ENTERTAINMENT" totalsRowLabel="Total" dataDxfId="139" totalsRowDxfId="138"/>
    <tableColumn id="2" xr3:uid="{24BCC1B4-519C-436D-AA5B-27FE1842676D}" name="Projected Cost" totalsRowFunction="sum" dataDxfId="137" totalsRowDxfId="136"/>
    <tableColumn id="3" xr3:uid="{435D34E5-615B-4416-AA08-B2886AAE0F11}" name="Actual Cost" totalsRowFunction="sum" dataDxfId="135" totalsRowDxfId="134"/>
    <tableColumn id="4" xr3:uid="{1737D1B7-3361-404C-953E-1FAD782D4465}" name="Difference" totalsRowFunction="sum" dataDxfId="133" totalsRowDxfId="132">
      <calculatedColumnFormula>Table2144155166177188210232243[[#This Row],[Projected Cost]]-Table2144155166177188210232243[[#This Row],[Actual Cost]]</calculatedColumnFormula>
    </tableColumn>
  </tableColumns>
  <tableStyleInfo name="TableStyleMedium23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3" xr:uid="{FB78887A-B61D-4B2C-9D53-BD4E094C85B4}" name="Table1134145156167178200222233244" displayName="Table1134145156167178200222233244" ref="B13:E24" totalsRowCount="1" headerRowDxfId="131" dataDxfId="130" totalsRowDxfId="128" tableBorderDxfId="129">
  <autoFilter ref="B13:E23" xr:uid="{00000000-0009-0000-0100-000001000000}"/>
  <tableColumns count="4">
    <tableColumn id="1" xr3:uid="{62FA6044-8D23-4716-AA7F-92ADA50F5EDB}" name="HOUSING" totalsRowLabel="Total" dataDxfId="127" totalsRowDxfId="126"/>
    <tableColumn id="2" xr3:uid="{240291DE-A6CC-46BB-AA39-2C11BEF2196A}" name="Projected Cost" totalsRowFunction="sum" dataDxfId="125" totalsRowDxfId="124"/>
    <tableColumn id="3" xr3:uid="{4D1C223C-08CD-464F-9BFD-23B8785B81CC}" name="Actual Cost" totalsRowFunction="sum" dataDxfId="123" totalsRowDxfId="122"/>
    <tableColumn id="4" xr3:uid="{35C6B1C7-ED23-489E-8D46-761614002CFB}" name="Difference" totalsRowFunction="sum" dataDxfId="121" totalsRowDxfId="120">
      <calculatedColumnFormula>Table1134145156167178200222233244[[#This Row],[Projected Cost]]-Table1134145156167178200222233244[[#This Row],[Actual Cost]]</calculatedColumnFormula>
    </tableColumn>
  </tableColumns>
  <tableStyleInfo name="TableStyleMedium23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4" xr:uid="{0F99430B-CF08-4F4F-A3BD-FA776CB6E3BC}" name="Table4135146157168179201223234245" displayName="Table4135146157168179201223234245" ref="B36:E41" totalsRowCount="1" headerRowDxfId="119" dataDxfId="118" totalsRowDxfId="116" tableBorderDxfId="117">
  <autoFilter ref="B36:E40" xr:uid="{00000000-0009-0000-0100-000004000000}"/>
  <tableColumns count="4">
    <tableColumn id="1" xr3:uid="{6F0ACE17-F5A9-4591-AF3E-DF14CA9509F8}" name="INSURANCE" totalsRowLabel="Total" dataDxfId="115" totalsRowDxfId="114"/>
    <tableColumn id="2" xr3:uid="{C2D14C6F-7865-4E4F-A0EF-F0F6C1FBFEED}" name="Projected Cost" totalsRowFunction="sum" dataDxfId="113" totalsRowDxfId="112"/>
    <tableColumn id="3" xr3:uid="{13E80F70-354D-4E91-836B-ECD05EE604ED}" name="Actual Cost" totalsRowFunction="sum" dataDxfId="111" totalsRowDxfId="110"/>
    <tableColumn id="4" xr3:uid="{18E8FB5E-26B5-45F8-AA89-CEE6AF014EEF}" name="Difference" totalsRowFunction="sum" dataDxfId="109" totalsRowDxfId="108">
      <calculatedColumnFormula>Table4135146157168179201223234245[[#This Row],[Projected Cost]]-Table4135146157168179201223234245[[#This Row],[Actual Cost]]</calculatedColumnFormula>
    </tableColumn>
  </tableColumns>
  <tableStyleInfo name="TableStyleMedium23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5" xr:uid="{6C95EB16-AB2D-4C3A-B6B0-BD34EF970DAF}" name="Table6136147158169180202224235246" displayName="Table6136147158169180202224235246" ref="B49:E55" totalsRowCount="1" headerRowDxfId="107" dataDxfId="106" totalsRowDxfId="104" tableBorderDxfId="105">
  <autoFilter ref="B49:E54" xr:uid="{00000000-0009-0000-0100-000006000000}"/>
  <tableColumns count="4">
    <tableColumn id="1" xr3:uid="{7AFFC73B-1263-451B-9416-24766DF90240}" name="PETS" totalsRowLabel="Total" dataDxfId="103" totalsRowDxfId="102"/>
    <tableColumn id="2" xr3:uid="{D5C2BB49-2501-4800-BA6F-4D88A502F317}" name="Projected Cost" totalsRowFunction="sum" dataDxfId="101" totalsRowDxfId="100"/>
    <tableColumn id="3" xr3:uid="{DAB4AA8C-168F-404A-B1EF-7D4F084CD974}" name="Actual Cost" totalsRowFunction="sum" dataDxfId="99" totalsRowDxfId="98"/>
    <tableColumn id="4" xr3:uid="{B77FA216-AE7A-4D62-8864-263BC5C223D7}" name="Difference" totalsRowFunction="sum" dataDxfId="97" totalsRowDxfId="96">
      <calculatedColumnFormula>Table6136147158169180202224235246[[#This Row],[Projected Cost]]-Table6136147158169180202224235246[[#This Row],[Actual Cost]]</calculatedColumnFormula>
    </tableColumn>
  </tableColumns>
  <tableStyleInfo name="TableStyleMedium23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6" xr:uid="{4D59D5FB-FD80-457E-8957-FD1A168B4679}" name="Table11137148159170181203225236247" displayName="Table11137148159170181203225236247" ref="G47:J51" totalsRowCount="1" headerRowDxfId="95" dataDxfId="94" totalsRowDxfId="92" tableBorderDxfId="93">
  <autoFilter ref="G47:J50" xr:uid="{00000000-0009-0000-0100-00000B000000}"/>
  <tableColumns count="4">
    <tableColumn id="1" xr3:uid="{227A970F-E1D0-4942-A164-3165C77242F0}" name="GIFTS AND DONATIONS" totalsRowLabel="Total" dataDxfId="91" totalsRowDxfId="90"/>
    <tableColumn id="2" xr3:uid="{B65C755C-2AF8-4E41-A962-C5AE25BBCE11}" name="Projected Cost" totalsRowFunction="sum" dataDxfId="89" totalsRowDxfId="88"/>
    <tableColumn id="3" xr3:uid="{C9E76F17-9969-4BD3-A44C-C3AF5D5754BB}" name="Actual Cost" totalsRowFunction="sum" dataDxfId="87" totalsRowDxfId="86"/>
    <tableColumn id="4" xr3:uid="{438AAFC6-4304-47B1-8950-F2D29E9A156E}" name="Difference" totalsRowFunction="sum" dataDxfId="85" totalsRowDxfId="84">
      <calculatedColumnFormula>Table11137148159170181203225236247[[#This Row],[Projected Cost]]-Table11137148159170181203225236247[[#This Row],[Actual Cost]]</calculatedColumnFormula>
    </tableColumn>
  </tableColumns>
  <tableStyleInfo name="TableStyleMedium23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7" xr:uid="{33F6FC69-4749-4D63-BD26-69DA887DB99E}" name="Table5138149160171182204226237248" displayName="Table5138149160171182204226237248" ref="B43:E47" totalsRowCount="1" headerRowDxfId="83" dataDxfId="82" totalsRowDxfId="80" tableBorderDxfId="81">
  <autoFilter ref="B43:E46" xr:uid="{00000000-0009-0000-0100-000005000000}"/>
  <tableColumns count="4">
    <tableColumn id="1" xr3:uid="{CC521A8D-33DE-4BDC-B3A8-25A347191D33}" name="FOOD" totalsRowLabel="Total" dataDxfId="79" totalsRowDxfId="78"/>
    <tableColumn id="2" xr3:uid="{B668EBF1-8E7F-4C09-88A6-CA7BDDAAFB32}" name="Projected Cost" totalsRowFunction="sum" dataDxfId="77" totalsRowDxfId="76"/>
    <tableColumn id="3" xr3:uid="{877C5DA4-8715-43A5-A585-BD139956A223}" name="Actual Cost" totalsRowFunction="sum" dataDxfId="75" totalsRowDxfId="74"/>
    <tableColumn id="4" xr3:uid="{89EB1171-4F46-4E2D-882E-4ACA96827652}" name="Difference" totalsRowFunction="sum" dataDxfId="73" totalsRowDxfId="72">
      <calculatedColumnFormula>Table5138149160171182204226237248[[#This Row],[Projected Cost]]-Table5138149160171182204226237248[[#This Row],[Actual Cost]]</calculatedColumnFormula>
    </tableColumn>
  </tableColumns>
  <tableStyleInfo name="TableStyleMedium23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8" xr:uid="{D5731464-DCA6-4942-BB98-A22BFB383AA8}" name="Table9139150161172183205227238249" displayName="Table9139150161172183205227238249" ref="G34:J39" totalsRowCount="1" headerRowDxfId="71" dataDxfId="70" totalsRowDxfId="68" tableBorderDxfId="69">
  <autoFilter ref="G34:J38" xr:uid="{00000000-0009-0000-0100-000009000000}"/>
  <tableColumns count="4">
    <tableColumn id="1" xr3:uid="{30BFEA7D-C067-40EF-B4D9-D2D305A25C11}" name="Other" totalsRowLabel="Total" dataDxfId="67" totalsRowDxfId="66"/>
    <tableColumn id="2" xr3:uid="{7856DFC6-0CB4-4372-A6B0-4D8A2CA6B56D}" name="Projected Cost" totalsRowFunction="sum" dataDxfId="65" totalsRowDxfId="64"/>
    <tableColumn id="3" xr3:uid="{A5E8BC5E-BFFD-4594-A35A-7900B178E119}" name="Actual Cost" totalsRowFunction="sum" dataDxfId="63" totalsRowDxfId="62"/>
    <tableColumn id="4" xr3:uid="{33C2C292-ACF1-4911-AD8E-6821A0FB4247}" name="Difference" totalsRowFunction="sum" dataDxfId="61" totalsRowDxfId="60">
      <calculatedColumnFormula>Table9139150161172183205227238249[[#This Row],[Projected Cost]]-Table9139150161172183205227238249[[#This Row],[Actual Cost]]</calculatedColumnFormula>
    </tableColumn>
  </tableColumns>
  <tableStyleInfo name="TableStyleMedium23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9" xr:uid="{5060AB02-EE78-4F11-BEDB-B15CBFECCFAB}" name="Table3140151162173184206228239250" displayName="Table3140151162173184206228239250" ref="B26:E34" totalsRowCount="1" headerRowDxfId="59" dataDxfId="58" totalsRowDxfId="56" tableBorderDxfId="57">
  <autoFilter ref="B26:E33" xr:uid="{00000000-0009-0000-0100-000003000000}"/>
  <tableColumns count="4">
    <tableColumn id="1" xr3:uid="{2903236A-F76F-47F1-AE04-3630401E0CBC}" name="TRANSPORTATION" totalsRowLabel="Total" dataDxfId="55" totalsRowDxfId="54"/>
    <tableColumn id="2" xr3:uid="{B66D0602-497A-4BA3-9C27-235B1A47FBAA}" name="Projected Cost" totalsRowFunction="sum" dataDxfId="53" totalsRowDxfId="52"/>
    <tableColumn id="3" xr3:uid="{CBB2760B-9AD7-4694-B447-7EEAEDCAFF92}" name="Actual Cost" totalsRowFunction="sum" dataDxfId="51" totalsRowDxfId="50"/>
    <tableColumn id="4" xr3:uid="{19CB0B3E-AB20-4C0F-95C1-BE35F302C4C4}" name="Difference" totalsRowFunction="sum" dataDxfId="49" totalsRowDxfId="48">
      <calculatedColumnFormula>Table3140151162173184206228239250[[#This Row],[Projected Cost]]-Table3140151162173184206228239250[[#This Row],[Actual Cost]]</calculatedColumnFormula>
    </tableColumn>
  </tableColumns>
  <tableStyleInfo name="TableStyleMedium23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0" xr:uid="{1A7F1192-AA45-4D88-85D3-D488871C0974}" name="Table8141152163174185207229240251" displayName="Table8141152163174185207229240251" ref="G25:J32" totalsRowCount="1" headerRowDxfId="47" dataDxfId="46" totalsRowDxfId="44" tableBorderDxfId="45">
  <autoFilter ref="G25:J31" xr:uid="{00000000-0009-0000-0100-000008000000}"/>
  <tableColumns count="4">
    <tableColumn id="1" xr3:uid="{7E9214EE-995F-4DD7-9630-CF92FFF8C890}" name="LOANS/DEBT" totalsRowLabel="Total" dataDxfId="43" totalsRowDxfId="42"/>
    <tableColumn id="2" xr3:uid="{0CD43A84-6ECD-4760-BFF0-AA81AE719011}" name="Projected Cost" totalsRowFunction="sum" dataDxfId="41" totalsRowDxfId="40"/>
    <tableColumn id="3" xr3:uid="{35E773BE-03C6-4278-95D8-9CFC463AA910}" name="Actual Cost" totalsRowFunction="sum" dataDxfId="39" totalsRowDxfId="38"/>
    <tableColumn id="4" xr3:uid="{D4E2BCED-ED08-43A0-82F4-1BAABA5EB571}" name="Difference" totalsRowFunction="sum" dataDxfId="37" totalsRowDxfId="36">
      <calculatedColumnFormula>Table8141152163174185207229240251[[#This Row],[Projected Cost]]-Table8141152163174185207229240251[[#This Row],[Actual Cost]]</calculatedColumnFormula>
    </tableColumn>
  </tableColumns>
  <tableStyleInfo name="TableStyleMedium2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B8482CCA-B46F-4B0A-9C84-2DB19F4BC91D}" name="Table4135" displayName="Table4135" ref="B36:E41" totalsRowCount="1" headerRowDxfId="1439" dataDxfId="1438" totalsRowDxfId="1436" tableBorderDxfId="1437">
  <autoFilter ref="B36:E40" xr:uid="{00000000-0009-0000-0100-000004000000}"/>
  <tableColumns count="4">
    <tableColumn id="1" xr3:uid="{7D0D9E90-E1A3-41DA-A9CF-D8C4955BC2A1}" name="INSURANCE" totalsRowLabel="Total" dataDxfId="1435" totalsRowDxfId="1434"/>
    <tableColumn id="2" xr3:uid="{0B07AD9F-F0D3-4BFD-9C0F-94C4E6364B2A}" name="Projected Cost" totalsRowFunction="sum" dataDxfId="1433" totalsRowDxfId="1432"/>
    <tableColumn id="3" xr3:uid="{293F7094-EF56-4A77-B791-BFCD7F57561D}" name="Actual Cost" totalsRowFunction="sum" dataDxfId="1431" totalsRowDxfId="1430"/>
    <tableColumn id="4" xr3:uid="{BA058EA8-F165-479B-9576-11CCB8F96D9B}" name="Difference" totalsRowFunction="sum" dataDxfId="1429" totalsRowDxfId="1428">
      <calculatedColumnFormula>Table4135[[#This Row],[Projected Cost]]-Table4135[[#This Row],[Actual Cost]]</calculatedColumnFormula>
    </tableColumn>
  </tableColumns>
  <tableStyleInfo name="TableStyleMedium23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1" xr:uid="{92A5CF5B-88BF-4B6F-A1C4-237A39DD82AD}" name="Table10142153164175186208230241252" displayName="Table10142153164175186208230241252" ref="G41:J45" totalsRowCount="1" headerRowDxfId="35" dataDxfId="34" totalsRowDxfId="32" tableBorderDxfId="33">
  <autoFilter ref="G41:J44" xr:uid="{00000000-0009-0000-0100-00000A000000}"/>
  <tableColumns count="4">
    <tableColumn id="1" xr3:uid="{21393DD2-5556-4377-B8DE-8CFD45D067B8}" name="SAVINGS OR INVESTMENTS" totalsRowLabel="Total" dataDxfId="31" totalsRowDxfId="30"/>
    <tableColumn id="2" xr3:uid="{BC97BFF5-16AD-45E8-ABC9-51192F3CA285}" name="Projected Cost" totalsRowFunction="sum" dataDxfId="29" totalsRowDxfId="28"/>
    <tableColumn id="3" xr3:uid="{4F62BDC7-7A31-4512-930F-A896844F19B8}" name="Actual Cost" totalsRowFunction="sum" dataDxfId="27" totalsRowDxfId="26"/>
    <tableColumn id="4" xr3:uid="{8A471F8F-C09A-482B-AD7A-843208AFD4A8}" name="Difference" totalsRowFunction="sum" dataDxfId="25" totalsRowDxfId="24">
      <calculatedColumnFormula>Table10142153164175186208230241252[[#This Row],[Projected Cost]]-Table10142153164175186208230241252[[#This Row],[Actual Cost]]</calculatedColumnFormula>
    </tableColumn>
  </tableColumns>
  <tableStyleInfo name="TableStyleMedium23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2" xr:uid="{AF54CF96-A38A-4B35-8434-1E6B81094100}" name="Table7143154165176187209231242253" displayName="Table7143154165176187209231242253" ref="B57:E65" totalsRowCount="1" headerRowDxfId="23" dataDxfId="22" totalsRowDxfId="20" tableBorderDxfId="21">
  <autoFilter ref="B57:E64" xr:uid="{00000000-0009-0000-0100-000007000000}"/>
  <tableColumns count="4">
    <tableColumn id="1" xr3:uid="{6C6E13B9-5CB2-490C-B526-49F241362053}" name="PERSONAL CARE" totalsRowLabel="Total" dataDxfId="19" totalsRowDxfId="18"/>
    <tableColumn id="2" xr3:uid="{CDC628C3-648E-4026-92F2-50811DBF0791}" name="Projected Cost" totalsRowFunction="sum" dataDxfId="17" totalsRowDxfId="16"/>
    <tableColumn id="3" xr3:uid="{68971531-CFB0-4210-8EB9-E1E1DD2A75BF}" name="Actual Cost" totalsRowFunction="sum" dataDxfId="15" totalsRowDxfId="14"/>
    <tableColumn id="4" xr3:uid="{D90CC9A6-D75A-4C1C-A87C-C73C151692A7}" name="Difference" totalsRowFunction="sum" dataDxfId="13" totalsRowDxfId="12">
      <calculatedColumnFormula>Table7143154165176187209231242253[[#This Row],[Projected Cost]]-Table7143154165176187209231242253[[#This Row],[Actual Cost]]</calculatedColumnFormula>
    </tableColumn>
  </tableColumns>
  <tableStyleInfo name="TableStyleMedium23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3" xr:uid="{D86B616C-D800-43F1-A285-FAB164D4BDB1}" name="Table2144155166177188210232243254" displayName="Table2144155166177188210232243254" ref="G13:J23" totalsRowCount="1" headerRowDxfId="11" dataDxfId="10" totalsRowDxfId="8" tableBorderDxfId="9">
  <autoFilter ref="G13:J22" xr:uid="{00000000-0009-0000-0100-000002000000}"/>
  <tableColumns count="4">
    <tableColumn id="1" xr3:uid="{A74CFCFC-F1F0-4FEF-8CE2-33CAC1E13F8C}" name="ENTERTAINMENT" totalsRowLabel="Total" dataDxfId="7" totalsRowDxfId="6"/>
    <tableColumn id="2" xr3:uid="{240B2187-E8D6-4821-A350-B2052E0307F3}" name="Projected Cost" totalsRowFunction="sum" dataDxfId="5" totalsRowDxfId="4"/>
    <tableColumn id="3" xr3:uid="{424C5A45-DD70-4891-AA84-5CC41A7A3670}" name="Actual Cost" totalsRowFunction="sum" dataDxfId="3" totalsRowDxfId="2"/>
    <tableColumn id="4" xr3:uid="{0372F677-7C43-4002-841B-304872B4A96D}" name="Difference" totalsRowFunction="sum" dataDxfId="1" totalsRowDxfId="0">
      <calculatedColumnFormula>Table2144155166177188210232243254[[#This Row],[Projected Cost]]-Table2144155166177188210232243254[[#This Row],[Actual Cost]]</calculatedColumnFormula>
    </tableColumn>
  </tableColumns>
  <tableStyleInfo name="TableStyleMedium2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424165F7-F581-4DBA-9953-8C64BF915910}" name="Table6136" displayName="Table6136" ref="B49:E55" totalsRowCount="1" headerRowDxfId="1427" dataDxfId="1426" totalsRowDxfId="1424" tableBorderDxfId="1425">
  <autoFilter ref="B49:E54" xr:uid="{00000000-0009-0000-0100-000006000000}"/>
  <tableColumns count="4">
    <tableColumn id="1" xr3:uid="{667423FD-3573-43C9-AFDB-C368F79EBC03}" name="PETS" totalsRowLabel="Total" dataDxfId="1423" totalsRowDxfId="1422"/>
    <tableColumn id="2" xr3:uid="{A7B9D2CF-6D4E-44E9-954D-EDBCEDDDB01B}" name="Projected Cost" totalsRowFunction="sum" dataDxfId="1421" totalsRowDxfId="1420"/>
    <tableColumn id="3" xr3:uid="{E470B590-B94D-486C-8104-A245C97F4A2C}" name="Actual Cost" totalsRowFunction="sum" dataDxfId="1419" totalsRowDxfId="1418"/>
    <tableColumn id="4" xr3:uid="{9BF01B5C-1AF1-4A91-A0C3-B4AF30EAB02E}" name="Difference" totalsRowFunction="sum" dataDxfId="1417" totalsRowDxfId="1416">
      <calculatedColumnFormula>Table6136[[#This Row],[Projected Cost]]-Table6136[[#This Row],[Actual Cost]]</calculatedColumnFormula>
    </tableColumn>
  </tableColumns>
  <tableStyleInfo name="TableStyleMedium23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D7407763-8B3C-4679-9E2F-F296E0E63BC8}" name="Table11137" displayName="Table11137" ref="G47:J51" totalsRowCount="1" headerRowDxfId="1415" dataDxfId="1414" totalsRowDxfId="1412" tableBorderDxfId="1413">
  <autoFilter ref="G47:J50" xr:uid="{00000000-0009-0000-0100-00000B000000}"/>
  <tableColumns count="4">
    <tableColumn id="1" xr3:uid="{2D239F7B-4C63-4A1B-A1EA-D2601802D146}" name="GIFTS AND DONATIONS" totalsRowLabel="Total" dataDxfId="1411" totalsRowDxfId="1410"/>
    <tableColumn id="2" xr3:uid="{DF27DAF1-CAA6-4E64-B029-950194DE980F}" name="Projected Cost" totalsRowFunction="sum" dataDxfId="1409" totalsRowDxfId="1408"/>
    <tableColumn id="3" xr3:uid="{FA999B08-D946-4B20-88C2-0D08B88B1342}" name="Actual Cost" totalsRowFunction="sum" dataDxfId="1407" totalsRowDxfId="1406"/>
    <tableColumn id="4" xr3:uid="{471488DA-98CB-4DA5-AB67-7726093EF069}" name="Difference" totalsRowFunction="sum" dataDxfId="1405" totalsRowDxfId="1404">
      <calculatedColumnFormula>Table11137[[#This Row],[Projected Cost]]-Table11137[[#This Row],[Actual Cost]]</calculatedColumnFormula>
    </tableColumn>
  </tableColumns>
  <tableStyleInfo name="TableStyleMedium23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0F0ABE90-8BFE-4510-A42E-BDE897826784}" name="Table5138" displayName="Table5138" ref="B43:E47" totalsRowCount="1" headerRowDxfId="1403" dataDxfId="1402" totalsRowDxfId="1400" tableBorderDxfId="1401">
  <autoFilter ref="B43:E46" xr:uid="{00000000-0009-0000-0100-000005000000}"/>
  <tableColumns count="4">
    <tableColumn id="1" xr3:uid="{58B65F01-8B6A-4E7F-A3C4-619A8F535533}" name="FOOD" totalsRowLabel="Total" dataDxfId="1399" totalsRowDxfId="1398"/>
    <tableColumn id="2" xr3:uid="{13A74F70-8B0D-4539-8118-4AD249BB45D9}" name="Projected Cost" totalsRowFunction="sum" dataDxfId="1397" totalsRowDxfId="1396"/>
    <tableColumn id="3" xr3:uid="{C2205635-BF30-42BD-AF95-1D9AAF9F4FE0}" name="Actual Cost" totalsRowFunction="sum" dataDxfId="1395" totalsRowDxfId="1394"/>
    <tableColumn id="4" xr3:uid="{E541AFE2-52C0-42EB-B65B-4B8190690CF2}" name="Difference" totalsRowFunction="sum" dataDxfId="1393" totalsRowDxfId="1392">
      <calculatedColumnFormula>Table5138[[#This Row],[Projected Cost]]-Table5138[[#This Row],[Actual Cost]]</calculatedColumnFormula>
    </tableColumn>
  </tableColumns>
  <tableStyleInfo name="TableStyleMedium23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C426BFBA-803E-4412-85DC-D3AA9B3F5421}" name="Table9139" displayName="Table9139" ref="G34:J39" totalsRowCount="1" headerRowDxfId="1391" dataDxfId="1390" totalsRowDxfId="1388" tableBorderDxfId="1389">
  <autoFilter ref="G34:J38" xr:uid="{00000000-0009-0000-0100-000009000000}"/>
  <tableColumns count="4">
    <tableColumn id="1" xr3:uid="{67904FB1-916F-4679-8673-4D62DB19446D}" name="Other" totalsRowLabel="Total" dataDxfId="1387" totalsRowDxfId="1386"/>
    <tableColumn id="2" xr3:uid="{2430D0E0-2A1D-45C7-AA66-6FC808413FC1}" name="Projected Cost" totalsRowFunction="sum" dataDxfId="1385" totalsRowDxfId="1384"/>
    <tableColumn id="3" xr3:uid="{593E7E11-03AA-4D33-BCF8-C290A2E553B6}" name="Actual Cost" totalsRowFunction="sum" dataDxfId="1383" totalsRowDxfId="1382"/>
    <tableColumn id="4" xr3:uid="{9A1C7F46-342B-4E61-8E3D-D66B694EC6C9}" name="Difference" totalsRowFunction="sum" dataDxfId="1381" totalsRowDxfId="1380">
      <calculatedColumnFormula>Table9139[[#This Row],[Projected Cost]]-Table9139[[#This Row],[Actual Cost]]</calculatedColumnFormula>
    </tableColumn>
  </tableColumns>
  <tableStyleInfo name="TableStyleMedium23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ECF082E7-FAB0-4D2B-AC03-D3CF58461307}" name="Table3140" displayName="Table3140" ref="B26:E34" totalsRowCount="1" headerRowDxfId="1379" dataDxfId="1378" totalsRowDxfId="1376" tableBorderDxfId="1377">
  <autoFilter ref="B26:E33" xr:uid="{00000000-0009-0000-0100-000003000000}"/>
  <tableColumns count="4">
    <tableColumn id="1" xr3:uid="{8B16DC16-C6AD-4988-87E2-6984E0D65308}" name="TRANSPORTATION" totalsRowLabel="Total" dataDxfId="1375" totalsRowDxfId="1374"/>
    <tableColumn id="2" xr3:uid="{B8C1286E-59ED-4A08-A94F-66B9D5660CB8}" name="Projected Cost" totalsRowFunction="sum" dataDxfId="1373" totalsRowDxfId="1372"/>
    <tableColumn id="3" xr3:uid="{26A2BCE5-6E5A-41BD-867B-46552E359AFF}" name="Actual Cost" totalsRowFunction="sum" dataDxfId="1371" totalsRowDxfId="1370"/>
    <tableColumn id="4" xr3:uid="{13042884-D5AB-4F05-A985-E3F51A938928}" name="Difference" totalsRowFunction="sum" dataDxfId="1369" totalsRowDxfId="1368">
      <calculatedColumnFormula>Table3140[[#This Row],[Projected Cost]]-Table3140[[#This Row],[Actual Cost]]</calculatedColumnFormula>
    </tableColumn>
  </tableColumns>
  <tableStyleInfo name="TableStyleMedium23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3D0C7118-EC22-4B45-8A76-6A25B45B68A4}" name="Table8141" displayName="Table8141" ref="G25:J32" totalsRowCount="1" headerRowDxfId="1367" dataDxfId="1366" totalsRowDxfId="1364" tableBorderDxfId="1365">
  <autoFilter ref="G25:J31" xr:uid="{00000000-0009-0000-0100-000008000000}"/>
  <tableColumns count="4">
    <tableColumn id="1" xr3:uid="{FC23BCA8-60D6-44F4-A2E0-0A99AD8B039C}" name="LOANS/DEBT" totalsRowLabel="Total" dataDxfId="1363" totalsRowDxfId="1362"/>
    <tableColumn id="2" xr3:uid="{2C6BFAAF-8E01-4741-B410-BB28B31AFC19}" name="Projected Cost" totalsRowFunction="sum" dataDxfId="1361" totalsRowDxfId="1360"/>
    <tableColumn id="3" xr3:uid="{D26FC725-A5EC-4563-B6C9-2C82084ACB9A}" name="Actual Cost" totalsRowFunction="sum" dataDxfId="1359" totalsRowDxfId="1358"/>
    <tableColumn id="4" xr3:uid="{F0723EB0-112A-496A-88C2-C7A572492DFA}" name="Difference" totalsRowFunction="sum" dataDxfId="1357" totalsRowDxfId="1356">
      <calculatedColumnFormula>Table8141[[#This Row],[Projected Cost]]-Table8141[[#This Row],[Actual Cost]]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B36:E41" totalsRowCount="1" headerRowDxfId="1571" dataDxfId="1570" totalsRowDxfId="1568" tableBorderDxfId="1569">
  <autoFilter ref="B36:E40" xr:uid="{00000000-0009-0000-0100-000004000000}"/>
  <tableColumns count="4">
    <tableColumn id="1" xr3:uid="{00000000-0010-0000-0100-000001000000}" name="INSURANCE" totalsRowLabel="Total" dataDxfId="1567" totalsRowDxfId="1566"/>
    <tableColumn id="2" xr3:uid="{00000000-0010-0000-0100-000002000000}" name="Projected Cost" totalsRowFunction="sum" dataDxfId="1565" totalsRowDxfId="1564"/>
    <tableColumn id="3" xr3:uid="{00000000-0010-0000-0100-000003000000}" name="Actual Cost" totalsRowFunction="sum" dataDxfId="1563" totalsRowDxfId="1562"/>
    <tableColumn id="4" xr3:uid="{00000000-0010-0000-0100-000004000000}" name="Difference" totalsRowFunction="sum" dataDxfId="1561" totalsRowDxfId="1560">
      <calculatedColumnFormula>Table4[[#This Row],[Projected Cost]]-Table4[[#This Row],[Actual Cost]]</calculatedColumnFormula>
    </tableColumn>
  </tableColumns>
  <tableStyleInfo name="TableStyleMedium23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A0D6699B-FF21-44D1-8955-2C30B3F90CE1}" name="Table10142" displayName="Table10142" ref="G41:J45" totalsRowCount="1" headerRowDxfId="1355" dataDxfId="1354" totalsRowDxfId="1352" tableBorderDxfId="1353">
  <autoFilter ref="G41:J44" xr:uid="{00000000-0009-0000-0100-00000A000000}"/>
  <tableColumns count="4">
    <tableColumn id="1" xr3:uid="{4BCD8C05-B3E9-41FD-A1D3-4C30F96F1150}" name="SAVINGS OR INVESTMENTS" totalsRowLabel="Total" dataDxfId="1351" totalsRowDxfId="1350"/>
    <tableColumn id="2" xr3:uid="{EB765E28-A56B-48F6-A285-4A14874F482E}" name="Projected Cost" totalsRowFunction="sum" dataDxfId="1349" totalsRowDxfId="1348"/>
    <tableColumn id="3" xr3:uid="{A15BFFFF-0A64-47C3-973F-CD80A4C01ABA}" name="Actual Cost" totalsRowFunction="sum" dataDxfId="1347" totalsRowDxfId="1346"/>
    <tableColumn id="4" xr3:uid="{B1B2E2CC-C9E0-425C-A9ED-60D871DBE3C5}" name="Difference" totalsRowFunction="sum" dataDxfId="1345" totalsRowDxfId="1344">
      <calculatedColumnFormula>Table10142[[#This Row],[Projected Cost]]-Table10142[[#This Row],[Actual Cost]]</calculatedColumnFormula>
    </tableColumn>
  </tableColumns>
  <tableStyleInfo name="TableStyleMedium23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EDE658F5-2CBB-469D-99BE-B8382AF446C0}" name="Table7143" displayName="Table7143" ref="B57:E65" totalsRowCount="1" headerRowDxfId="1343" dataDxfId="1342" totalsRowDxfId="1340" tableBorderDxfId="1341">
  <autoFilter ref="B57:E64" xr:uid="{00000000-0009-0000-0100-000007000000}"/>
  <tableColumns count="4">
    <tableColumn id="1" xr3:uid="{9F2F50A8-C842-4A1B-ADB6-407A849893E8}" name="PERSONAL CARE" totalsRowLabel="Total" dataDxfId="1339" totalsRowDxfId="1338"/>
    <tableColumn id="2" xr3:uid="{CA35AC5C-830F-4BFB-B6B8-4F53381F696C}" name="Projected Cost" totalsRowFunction="sum" dataDxfId="1337" totalsRowDxfId="1336"/>
    <tableColumn id="3" xr3:uid="{892315A6-8D13-4163-A6CB-95BCCEE806D8}" name="Actual Cost" totalsRowFunction="sum" dataDxfId="1335" totalsRowDxfId="1334"/>
    <tableColumn id="4" xr3:uid="{9C394129-522B-4153-A83E-4AD36945AD88}" name="Difference" totalsRowFunction="sum" dataDxfId="1333" totalsRowDxfId="1332">
      <calculatedColumnFormula>Table7143[[#This Row],[Projected Cost]]-Table7143[[#This Row],[Actual Cost]]</calculatedColumnFormula>
    </tableColumn>
  </tableColumns>
  <tableStyleInfo name="TableStyleMedium23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B9A115D9-3D85-45F9-81F2-CF14B0AA3102}" name="Table2144" displayName="Table2144" ref="G13:J23" totalsRowCount="1" headerRowDxfId="1331" dataDxfId="1330" totalsRowDxfId="1328" tableBorderDxfId="1329">
  <autoFilter ref="G13:J22" xr:uid="{00000000-0009-0000-0100-000002000000}"/>
  <tableColumns count="4">
    <tableColumn id="1" xr3:uid="{D1A847EA-7762-456A-AA4A-101666E55CBD}" name="ENTERTAINMENT" totalsRowLabel="Total" dataDxfId="1327" totalsRowDxfId="1326"/>
    <tableColumn id="2" xr3:uid="{10CA2CD6-3981-4CF4-AEE1-D535E54820D3}" name="Projected Cost" totalsRowFunction="sum" dataDxfId="1325" totalsRowDxfId="1324"/>
    <tableColumn id="3" xr3:uid="{3862BB64-97EF-47C6-ABA2-B65C72B65489}" name="Actual Cost" totalsRowFunction="sum" dataDxfId="1323" totalsRowDxfId="1322"/>
    <tableColumn id="4" xr3:uid="{3CA5383C-C6F9-47E4-88B4-186531514E4F}" name="Difference" totalsRowFunction="sum" dataDxfId="1321" totalsRowDxfId="1320">
      <calculatedColumnFormula>Table2144[[#This Row],[Projected Cost]]-Table2144[[#This Row],[Actual Cost]]</calculatedColumnFormula>
    </tableColumn>
  </tableColumns>
  <tableStyleInfo name="TableStyleMedium23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693D7B19-0D21-4857-A25C-029EC1E2E9CA}" name="Table1134145" displayName="Table1134145" ref="B13:E24" totalsRowCount="1" headerRowDxfId="1319" dataDxfId="1318" totalsRowDxfId="1316" tableBorderDxfId="1317">
  <autoFilter ref="B13:E23" xr:uid="{00000000-0009-0000-0100-000001000000}"/>
  <tableColumns count="4">
    <tableColumn id="1" xr3:uid="{9699B6B8-90D2-464E-BD4C-F89148985E8A}" name="HOUSING" totalsRowLabel="Total" dataDxfId="1315" totalsRowDxfId="1314"/>
    <tableColumn id="2" xr3:uid="{B19959BA-7BA0-4FD7-9F7B-895BC81E2FBD}" name="Projected Cost" totalsRowFunction="sum" dataDxfId="1313" totalsRowDxfId="1312"/>
    <tableColumn id="3" xr3:uid="{C77A7AA5-AC79-41B3-AFCE-FDAD5137B43E}" name="Actual Cost" totalsRowFunction="sum" dataDxfId="1311" totalsRowDxfId="1310"/>
    <tableColumn id="4" xr3:uid="{59F05F54-BAA9-4C94-822B-90866DBDF717}" name="Difference" totalsRowFunction="sum" dataDxfId="1309" totalsRowDxfId="1308">
      <calculatedColumnFormula>Table1134145[[#This Row],[Projected Cost]]-Table1134145[[#This Row],[Actual Cost]]</calculatedColumnFormula>
    </tableColumn>
  </tableColumns>
  <tableStyleInfo name="TableStyleMedium23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123B4AB9-A696-4671-845D-9A631A8B31E6}" name="Table4135146" displayName="Table4135146" ref="B36:E41" totalsRowCount="1" headerRowDxfId="1307" dataDxfId="1306" totalsRowDxfId="1304" tableBorderDxfId="1305">
  <autoFilter ref="B36:E40" xr:uid="{00000000-0009-0000-0100-000004000000}"/>
  <tableColumns count="4">
    <tableColumn id="1" xr3:uid="{C6127446-331C-4DA8-8D00-53D3A23F2C5B}" name="INSURANCE" totalsRowLabel="Total" dataDxfId="1303" totalsRowDxfId="1302"/>
    <tableColumn id="2" xr3:uid="{076C0335-6B4C-49CC-8A2E-323D35C88032}" name="Projected Cost" totalsRowFunction="sum" dataDxfId="1301" totalsRowDxfId="1300"/>
    <tableColumn id="3" xr3:uid="{6FEE39A7-4EA7-4D85-B280-3D71EBBF5BE1}" name="Actual Cost" totalsRowFunction="sum" dataDxfId="1299" totalsRowDxfId="1298"/>
    <tableColumn id="4" xr3:uid="{551BF9D2-1FF3-4593-AE03-26DC357F8726}" name="Difference" totalsRowFunction="sum" dataDxfId="1297" totalsRowDxfId="1296">
      <calculatedColumnFormula>Table4135146[[#This Row],[Projected Cost]]-Table4135146[[#This Row],[Actual Cost]]</calculatedColumnFormula>
    </tableColumn>
  </tableColumns>
  <tableStyleInfo name="TableStyleMedium23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A3D8B387-2FD9-40F3-BC4A-AD626000E413}" name="Table6136147" displayName="Table6136147" ref="B49:E55" totalsRowCount="1" headerRowDxfId="1295" dataDxfId="1294" totalsRowDxfId="1292" tableBorderDxfId="1293">
  <autoFilter ref="B49:E54" xr:uid="{00000000-0009-0000-0100-000006000000}"/>
  <tableColumns count="4">
    <tableColumn id="1" xr3:uid="{19C1294A-F392-4251-B8B1-48077D968908}" name="PETS" totalsRowLabel="Total" dataDxfId="1291" totalsRowDxfId="1290"/>
    <tableColumn id="2" xr3:uid="{E3FA5E70-43C3-4364-936A-9A3401760871}" name="Projected Cost" totalsRowFunction="sum" dataDxfId="1289" totalsRowDxfId="1288"/>
    <tableColumn id="3" xr3:uid="{14F75970-E793-4A28-9431-7721E0CA8FF3}" name="Actual Cost" totalsRowFunction="sum" dataDxfId="1287" totalsRowDxfId="1286"/>
    <tableColumn id="4" xr3:uid="{06B1391C-0816-4C37-8AAA-42AC57902182}" name="Difference" totalsRowFunction="sum" dataDxfId="1285" totalsRowDxfId="1284">
      <calculatedColumnFormula>Table6136147[[#This Row],[Projected Cost]]-Table6136147[[#This Row],[Actual Cost]]</calculatedColumnFormula>
    </tableColumn>
  </tableColumns>
  <tableStyleInfo name="TableStyleMedium23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CF3571B1-E9F6-4523-B598-BE0953DE42AC}" name="Table11137148" displayName="Table11137148" ref="G47:J51" totalsRowCount="1" headerRowDxfId="1283" dataDxfId="1282" totalsRowDxfId="1280" tableBorderDxfId="1281">
  <autoFilter ref="G47:J50" xr:uid="{00000000-0009-0000-0100-00000B000000}"/>
  <tableColumns count="4">
    <tableColumn id="1" xr3:uid="{3698D423-5875-41EB-9826-5E9FC0EC546D}" name="GIFTS AND DONATIONS" totalsRowLabel="Total" dataDxfId="1279" totalsRowDxfId="1278"/>
    <tableColumn id="2" xr3:uid="{5CF3A9AD-717A-4749-834F-F32C934E6506}" name="Projected Cost" totalsRowFunction="sum" dataDxfId="1277" totalsRowDxfId="1276"/>
    <tableColumn id="3" xr3:uid="{5A8C1CCD-7017-41AD-A287-D46910FED67D}" name="Actual Cost" totalsRowFunction="sum" dataDxfId="1275" totalsRowDxfId="1274"/>
    <tableColumn id="4" xr3:uid="{13095D06-09DE-4408-A2CD-225EEE54552B}" name="Difference" totalsRowFunction="sum" dataDxfId="1273" totalsRowDxfId="1272">
      <calculatedColumnFormula>Table11137148[[#This Row],[Projected Cost]]-Table11137148[[#This Row],[Actual Cost]]</calculatedColumnFormula>
    </tableColumn>
  </tableColumns>
  <tableStyleInfo name="TableStyleMedium23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230339BE-C704-4D03-A943-422C07408FBF}" name="Table5138149" displayName="Table5138149" ref="B43:E47" totalsRowCount="1" headerRowDxfId="1271" dataDxfId="1270" totalsRowDxfId="1268" tableBorderDxfId="1269">
  <autoFilter ref="B43:E46" xr:uid="{00000000-0009-0000-0100-000005000000}"/>
  <tableColumns count="4">
    <tableColumn id="1" xr3:uid="{48057ABB-E016-4C81-96CE-43B80FAE292C}" name="FOOD" totalsRowLabel="Total" dataDxfId="1267" totalsRowDxfId="1266"/>
    <tableColumn id="2" xr3:uid="{2B063B13-C4E7-4A6D-8D9D-667B99E12AA6}" name="Projected Cost" totalsRowFunction="sum" dataDxfId="1265" totalsRowDxfId="1264"/>
    <tableColumn id="3" xr3:uid="{B98DBA2D-7852-40B1-9A7D-08CFF8AA5785}" name="Actual Cost" totalsRowFunction="sum" dataDxfId="1263" totalsRowDxfId="1262"/>
    <tableColumn id="4" xr3:uid="{E1A1C158-F6B0-407D-81C8-3453158E264E}" name="Difference" totalsRowFunction="sum" dataDxfId="1261" totalsRowDxfId="1260">
      <calculatedColumnFormula>Table5138149[[#This Row],[Projected Cost]]-Table5138149[[#This Row],[Actual Cost]]</calculatedColumnFormula>
    </tableColumn>
  </tableColumns>
  <tableStyleInfo name="TableStyleMedium23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59CFE124-9124-4510-AA01-79384EB57E8A}" name="Table9139150" displayName="Table9139150" ref="G34:J39" totalsRowCount="1" headerRowDxfId="1259" dataDxfId="1258" totalsRowDxfId="1256" tableBorderDxfId="1257">
  <autoFilter ref="G34:J38" xr:uid="{00000000-0009-0000-0100-000009000000}"/>
  <tableColumns count="4">
    <tableColumn id="1" xr3:uid="{90314A90-C49E-425C-A2BD-0051BAE90EFC}" name="Other" totalsRowLabel="Total" dataDxfId="1255" totalsRowDxfId="1254"/>
    <tableColumn id="2" xr3:uid="{DAC4D9E3-DBD9-48A0-B273-2D516D0B89A8}" name="Projected Cost" totalsRowFunction="sum" dataDxfId="1253" totalsRowDxfId="1252"/>
    <tableColumn id="3" xr3:uid="{68A2CB31-9794-459C-B5DB-DB0845659237}" name="Actual Cost" totalsRowFunction="sum" dataDxfId="1251" totalsRowDxfId="1250"/>
    <tableColumn id="4" xr3:uid="{36317267-806B-4150-A05E-166EDDA718D6}" name="Difference" totalsRowFunction="sum" dataDxfId="1249" totalsRowDxfId="1248">
      <calculatedColumnFormula>Table9139150[[#This Row],[Projected Cost]]-Table9139150[[#This Row],[Actual Cost]]</calculatedColumnFormula>
    </tableColumn>
  </tableColumns>
  <tableStyleInfo name="TableStyleMedium23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A23F9895-D0A0-4182-ADEE-F0A3B71428F7}" name="Table3140151" displayName="Table3140151" ref="B26:E34" totalsRowCount="1" headerRowDxfId="1247" dataDxfId="1246" totalsRowDxfId="1244" tableBorderDxfId="1245">
  <autoFilter ref="B26:E33" xr:uid="{00000000-0009-0000-0100-000003000000}"/>
  <tableColumns count="4">
    <tableColumn id="1" xr3:uid="{F0B0DE08-A102-40CE-B597-C5E52508C8DA}" name="TRANSPORTATION" totalsRowLabel="Total" dataDxfId="1243" totalsRowDxfId="1242"/>
    <tableColumn id="2" xr3:uid="{44A777AD-BF01-48FB-BE1C-CD6E7A2F3DE6}" name="Projected Cost" totalsRowFunction="sum" dataDxfId="1241" totalsRowDxfId="1240"/>
    <tableColumn id="3" xr3:uid="{D7392D6E-DEA7-4C30-92FE-1D392B0D811C}" name="Actual Cost" totalsRowFunction="sum" dataDxfId="1239" totalsRowDxfId="1238"/>
    <tableColumn id="4" xr3:uid="{0249D591-96A1-40A3-ABAE-E64C55742102}" name="Difference" totalsRowFunction="sum" dataDxfId="1237" totalsRowDxfId="1236">
      <calculatedColumnFormula>Table3140151[[#This Row],[Projected Cost]]-Table3140151[[#This Row],[Actual Cost]]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B49:E55" totalsRowCount="1" headerRowDxfId="1559" dataDxfId="1558" totalsRowDxfId="1556" tableBorderDxfId="1557">
  <autoFilter ref="B49:E54" xr:uid="{00000000-0009-0000-0100-000006000000}"/>
  <tableColumns count="4">
    <tableColumn id="1" xr3:uid="{00000000-0010-0000-0200-000001000000}" name="PETS" totalsRowLabel="Total" dataDxfId="1555" totalsRowDxfId="1554"/>
    <tableColumn id="2" xr3:uid="{00000000-0010-0000-0200-000002000000}" name="Projected Cost" totalsRowFunction="sum" dataDxfId="1553" totalsRowDxfId="1552"/>
    <tableColumn id="3" xr3:uid="{00000000-0010-0000-0200-000003000000}" name="Actual Cost" totalsRowFunction="sum" dataDxfId="1551" totalsRowDxfId="1550"/>
    <tableColumn id="4" xr3:uid="{00000000-0010-0000-0200-000004000000}" name="Difference" totalsRowFunction="sum" dataDxfId="1549" totalsRowDxfId="1548">
      <calculatedColumnFormula>Table6[[#This Row],[Projected Cost]]-Table6[[#This Row],[Actual Cost]]</calculatedColumnFormula>
    </tableColumn>
  </tableColumns>
  <tableStyleInfo name="TableStyleMedium23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96E62D68-17AC-4AFF-8849-8CE38FC1F1AA}" name="Table8141152" displayName="Table8141152" ref="G25:J32" totalsRowCount="1" headerRowDxfId="1235" dataDxfId="1234" totalsRowDxfId="1232" tableBorderDxfId="1233">
  <autoFilter ref="G25:J31" xr:uid="{00000000-0009-0000-0100-000008000000}"/>
  <tableColumns count="4">
    <tableColumn id="1" xr3:uid="{E453B644-AC1C-4CB5-99D9-2EC7B9FCEC03}" name="LOANS/DEBT" totalsRowLabel="Total" dataDxfId="1231" totalsRowDxfId="1230"/>
    <tableColumn id="2" xr3:uid="{24346CC8-633D-41C1-83E5-67407B33F7F2}" name="Projected Cost" totalsRowFunction="sum" dataDxfId="1229" totalsRowDxfId="1228"/>
    <tableColumn id="3" xr3:uid="{3390CE84-51B9-42CA-B74A-1C740DA30517}" name="Actual Cost" totalsRowFunction="sum" dataDxfId="1227" totalsRowDxfId="1226"/>
    <tableColumn id="4" xr3:uid="{683AE520-C536-4C1C-B72E-D197D837A905}" name="Difference" totalsRowFunction="sum" dataDxfId="1225" totalsRowDxfId="1224">
      <calculatedColumnFormula>Table8141152[[#This Row],[Projected Cost]]-Table8141152[[#This Row],[Actual Cost]]</calculatedColumnFormula>
    </tableColumn>
  </tableColumns>
  <tableStyleInfo name="TableStyleMedium23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78DBCA0E-9F17-47B1-AD07-B4576B6BCBB4}" name="Table10142153" displayName="Table10142153" ref="G41:J45" totalsRowCount="1" headerRowDxfId="1223" dataDxfId="1222" totalsRowDxfId="1220" tableBorderDxfId="1221">
  <autoFilter ref="G41:J44" xr:uid="{00000000-0009-0000-0100-00000A000000}"/>
  <tableColumns count="4">
    <tableColumn id="1" xr3:uid="{12A2711B-DE33-4BE4-A704-7D96C6FB57D7}" name="SAVINGS OR INVESTMENTS" totalsRowLabel="Total" dataDxfId="1219" totalsRowDxfId="1218"/>
    <tableColumn id="2" xr3:uid="{6ACFD95D-A20E-41D3-9EC7-571865D76F39}" name="Projected Cost" totalsRowFunction="sum" dataDxfId="1217" totalsRowDxfId="1216"/>
    <tableColumn id="3" xr3:uid="{74154DFA-EDE9-4C58-A195-51A65AD0C1CC}" name="Actual Cost" totalsRowFunction="sum" dataDxfId="1215" totalsRowDxfId="1214"/>
    <tableColumn id="4" xr3:uid="{604D6654-6969-4EFD-93E7-EEFAC7744FB5}" name="Difference" totalsRowFunction="sum" dataDxfId="1213" totalsRowDxfId="1212">
      <calculatedColumnFormula>Table10142153[[#This Row],[Projected Cost]]-Table10142153[[#This Row],[Actual Cost]]</calculatedColumnFormula>
    </tableColumn>
  </tableColumns>
  <tableStyleInfo name="TableStyleMedium23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656DAD4B-CFE7-48D6-8941-9DC47006EF38}" name="Table7143154" displayName="Table7143154" ref="B57:E65" totalsRowCount="1" headerRowDxfId="1211" dataDxfId="1210" totalsRowDxfId="1208" tableBorderDxfId="1209">
  <autoFilter ref="B57:E64" xr:uid="{00000000-0009-0000-0100-000007000000}"/>
  <tableColumns count="4">
    <tableColumn id="1" xr3:uid="{2D8B003B-BCFB-49FC-9B30-54F09BFB93A6}" name="PERSONAL CARE" totalsRowLabel="Total" dataDxfId="1207" totalsRowDxfId="1206"/>
    <tableColumn id="2" xr3:uid="{D0FAC062-925F-4E6B-83DD-BD7CBD3466ED}" name="Projected Cost" totalsRowFunction="sum" dataDxfId="1205" totalsRowDxfId="1204"/>
    <tableColumn id="3" xr3:uid="{08CAA547-07B3-4C99-9615-DFDE6DA8F9AF}" name="Actual Cost" totalsRowFunction="sum" dataDxfId="1203" totalsRowDxfId="1202"/>
    <tableColumn id="4" xr3:uid="{DFE6674E-3F48-43D8-ACF4-8BBB2C42CD98}" name="Difference" totalsRowFunction="sum" dataDxfId="1201" totalsRowDxfId="1200">
      <calculatedColumnFormula>Table7143154[[#This Row],[Projected Cost]]-Table7143154[[#This Row],[Actual Cost]]</calculatedColumnFormula>
    </tableColumn>
  </tableColumns>
  <tableStyleInfo name="TableStyleMedium23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CEA0771C-9EEC-43AA-B9A7-88FA990B674B}" name="Table2144155" displayName="Table2144155" ref="G13:J23" totalsRowCount="1" headerRowDxfId="1199" dataDxfId="1198" totalsRowDxfId="1196" tableBorderDxfId="1197">
  <autoFilter ref="G13:J22" xr:uid="{00000000-0009-0000-0100-000002000000}"/>
  <tableColumns count="4">
    <tableColumn id="1" xr3:uid="{E408376E-C5F9-46B2-95B7-7A5E52666D8E}" name="ENTERTAINMENT" totalsRowLabel="Total" dataDxfId="1195" totalsRowDxfId="1194"/>
    <tableColumn id="2" xr3:uid="{856C2DAF-9CEC-4526-B067-814F0ECC9F45}" name="Projected Cost" totalsRowFunction="sum" dataDxfId="1193" totalsRowDxfId="1192"/>
    <tableColumn id="3" xr3:uid="{9A7F5875-D9C6-41B0-A278-8146244E72BC}" name="Actual Cost" totalsRowFunction="sum" dataDxfId="1191" totalsRowDxfId="1190"/>
    <tableColumn id="4" xr3:uid="{B75A95BB-36A4-4946-8B14-15E7D066FC72}" name="Difference" totalsRowFunction="sum" dataDxfId="1189" totalsRowDxfId="1188">
      <calculatedColumnFormula>Table2144155[[#This Row],[Projected Cost]]-Table2144155[[#This Row],[Actual Cost]]</calculatedColumnFormula>
    </tableColumn>
  </tableColumns>
  <tableStyleInfo name="TableStyleMedium23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87C1CF67-2399-4823-8A22-72246244EB28}" name="Table1134145156" displayName="Table1134145156" ref="B13:E24" totalsRowCount="1" headerRowDxfId="1187" dataDxfId="1186" totalsRowDxfId="1184" tableBorderDxfId="1185">
  <autoFilter ref="B13:E23" xr:uid="{00000000-0009-0000-0100-000001000000}"/>
  <tableColumns count="4">
    <tableColumn id="1" xr3:uid="{88787AA1-20CF-4146-BEEE-DC64E3DB140F}" name="HOUSING" totalsRowLabel="Total" dataDxfId="1183" totalsRowDxfId="1182"/>
    <tableColumn id="2" xr3:uid="{7827CC34-F16D-42E1-9D4B-73A9B53F43AE}" name="Projected Cost" totalsRowFunction="sum" dataDxfId="1181" totalsRowDxfId="1180"/>
    <tableColumn id="3" xr3:uid="{22EB20AF-445E-4A6C-ADAD-62DA290A08C0}" name="Actual Cost" totalsRowFunction="sum" dataDxfId="1179" totalsRowDxfId="1178"/>
    <tableColumn id="4" xr3:uid="{6FD06229-68B6-4941-8128-F9FC3CD49917}" name="Difference" totalsRowFunction="sum" dataDxfId="1177" totalsRowDxfId="1176">
      <calculatedColumnFormula>Table1134145156[[#This Row],[Projected Cost]]-Table1134145156[[#This Row],[Actual Cost]]</calculatedColumnFormula>
    </tableColumn>
  </tableColumns>
  <tableStyleInfo name="TableStyleMedium23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26B4FE4B-3361-4707-B637-5500A72A1D2A}" name="Table4135146157" displayName="Table4135146157" ref="B36:E41" totalsRowCount="1" headerRowDxfId="1175" dataDxfId="1174" totalsRowDxfId="1172" tableBorderDxfId="1173">
  <autoFilter ref="B36:E40" xr:uid="{00000000-0009-0000-0100-000004000000}"/>
  <tableColumns count="4">
    <tableColumn id="1" xr3:uid="{A8160DC2-6DAD-4B78-A24A-9582A8E13476}" name="INSURANCE" totalsRowLabel="Total" dataDxfId="1171" totalsRowDxfId="1170"/>
    <tableColumn id="2" xr3:uid="{E6B477C9-04D9-4171-8AA5-DEA55EF5C36A}" name="Projected Cost" totalsRowFunction="sum" dataDxfId="1169" totalsRowDxfId="1168"/>
    <tableColumn id="3" xr3:uid="{1B19521C-8895-456C-B42A-80673868BF3D}" name="Actual Cost" totalsRowFunction="sum" dataDxfId="1167" totalsRowDxfId="1166"/>
    <tableColumn id="4" xr3:uid="{C689F5D0-CA93-4F6D-A703-2BC88F03C9A8}" name="Difference" totalsRowFunction="sum" dataDxfId="1165" totalsRowDxfId="1164">
      <calculatedColumnFormula>Table4135146157[[#This Row],[Projected Cost]]-Table4135146157[[#This Row],[Actual Cost]]</calculatedColumnFormula>
    </tableColumn>
  </tableColumns>
  <tableStyleInfo name="TableStyleMedium23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85715E05-2A17-4D92-9C36-ADD6A96A1416}" name="Table6136147158" displayName="Table6136147158" ref="B49:E55" totalsRowCount="1" headerRowDxfId="1163" dataDxfId="1162" totalsRowDxfId="1160" tableBorderDxfId="1161">
  <autoFilter ref="B49:E54" xr:uid="{00000000-0009-0000-0100-000006000000}"/>
  <tableColumns count="4">
    <tableColumn id="1" xr3:uid="{9E951AB0-6E88-4545-8BA5-2E88A3AD4547}" name="PETS" totalsRowLabel="Total" dataDxfId="1159" totalsRowDxfId="1158"/>
    <tableColumn id="2" xr3:uid="{FE39DE2C-673F-41EC-9866-A2F7536076D3}" name="Projected Cost" totalsRowFunction="sum" dataDxfId="1157" totalsRowDxfId="1156"/>
    <tableColumn id="3" xr3:uid="{A19A0F38-D7AC-4FB4-A3AA-F6D6530854FA}" name="Actual Cost" totalsRowFunction="sum" dataDxfId="1155" totalsRowDxfId="1154"/>
    <tableColumn id="4" xr3:uid="{9430A22A-79DB-4CE2-B03E-7FEA665106E2}" name="Difference" totalsRowFunction="sum" dataDxfId="1153" totalsRowDxfId="1152">
      <calculatedColumnFormula>Table6136147158[[#This Row],[Projected Cost]]-Table6136147158[[#This Row],[Actual Cost]]</calculatedColumnFormula>
    </tableColumn>
  </tableColumns>
  <tableStyleInfo name="TableStyleMedium23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EFE5503B-0322-4396-B298-5D125A10470F}" name="Table11137148159" displayName="Table11137148159" ref="G47:J51" totalsRowCount="1" headerRowDxfId="1151" dataDxfId="1150" totalsRowDxfId="1148" tableBorderDxfId="1149">
  <autoFilter ref="G47:J50" xr:uid="{00000000-0009-0000-0100-00000B000000}"/>
  <tableColumns count="4">
    <tableColumn id="1" xr3:uid="{F9A5CCBD-B96B-4333-ACFB-8400BD98453F}" name="GIFTS AND DONATIONS" totalsRowLabel="Total" dataDxfId="1147" totalsRowDxfId="1146"/>
    <tableColumn id="2" xr3:uid="{92B6F5DB-C19C-4979-A474-D205C70F0D35}" name="Projected Cost" totalsRowFunction="sum" dataDxfId="1145" totalsRowDxfId="1144"/>
    <tableColumn id="3" xr3:uid="{0F23EE35-315F-4028-9099-20F64DD64BEA}" name="Actual Cost" totalsRowFunction="sum" dataDxfId="1143" totalsRowDxfId="1142"/>
    <tableColumn id="4" xr3:uid="{93BCF91F-D977-45A1-9795-9303A085E83F}" name="Difference" totalsRowFunction="sum" dataDxfId="1141" totalsRowDxfId="1140">
      <calculatedColumnFormula>Table11137148159[[#This Row],[Projected Cost]]-Table11137148159[[#This Row],[Actual Cost]]</calculatedColumnFormula>
    </tableColumn>
  </tableColumns>
  <tableStyleInfo name="TableStyleMedium23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B67FB140-3FB0-4397-88AD-CC9E3C0EBBE7}" name="Table5138149160" displayName="Table5138149160" ref="B43:E47" totalsRowCount="1" headerRowDxfId="1139" dataDxfId="1138" totalsRowDxfId="1136" tableBorderDxfId="1137">
  <autoFilter ref="B43:E46" xr:uid="{00000000-0009-0000-0100-000005000000}"/>
  <tableColumns count="4">
    <tableColumn id="1" xr3:uid="{8CE8C65C-589F-49D6-B2CF-A54FE9AAF450}" name="FOOD" totalsRowLabel="Total" dataDxfId="1135" totalsRowDxfId="1134"/>
    <tableColumn id="2" xr3:uid="{94A3A244-4A60-4A26-B134-29F88EFEC556}" name="Projected Cost" totalsRowFunction="sum" dataDxfId="1133" totalsRowDxfId="1132"/>
    <tableColumn id="3" xr3:uid="{2B14CE5D-1524-4B92-9B91-44B89ED750AC}" name="Actual Cost" totalsRowFunction="sum" dataDxfId="1131" totalsRowDxfId="1130"/>
    <tableColumn id="4" xr3:uid="{8662DE7E-807A-4EAF-89A8-34271D195155}" name="Difference" totalsRowFunction="sum" dataDxfId="1129" totalsRowDxfId="1128">
      <calculatedColumnFormula>Table5138149160[[#This Row],[Projected Cost]]-Table5138149160[[#This Row],[Actual Cost]]</calculatedColumnFormula>
    </tableColumn>
  </tableColumns>
  <tableStyleInfo name="TableStyleMedium2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93985DB-1581-4B8F-AD8B-76A25BA1AC25}" name="Table9139150161" displayName="Table9139150161" ref="G34:J39" totalsRowCount="1" headerRowDxfId="1127" dataDxfId="1126" totalsRowDxfId="1124" tableBorderDxfId="1125">
  <autoFilter ref="G34:J38" xr:uid="{00000000-0009-0000-0100-000009000000}"/>
  <tableColumns count="4">
    <tableColumn id="1" xr3:uid="{6BF89A76-45F5-42D6-9DAA-3106507158BE}" name="Other" totalsRowLabel="Total" dataDxfId="1123" totalsRowDxfId="1122"/>
    <tableColumn id="2" xr3:uid="{D62E866F-A0EE-4202-B3FF-2784237425FE}" name="Projected Cost" totalsRowFunction="sum" dataDxfId="1121" totalsRowDxfId="1120"/>
    <tableColumn id="3" xr3:uid="{40D65AA0-0E55-493F-8604-EF3D35709B48}" name="Actual Cost" totalsRowFunction="sum" dataDxfId="1119" totalsRowDxfId="1118"/>
    <tableColumn id="4" xr3:uid="{D51FB31D-88BA-4373-A6A9-03879E23D919}" name="Difference" totalsRowFunction="sum" dataDxfId="1117" totalsRowDxfId="1116">
      <calculatedColumnFormula>Table9139150161[[#This Row],[Projected Cost]]-Table9139150161[[#This Row],[Actual Cost]]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le11" displayName="Table11" ref="G47:J51" totalsRowCount="1" headerRowDxfId="1547" dataDxfId="1546" totalsRowDxfId="1544" tableBorderDxfId="1545">
  <autoFilter ref="G47:J50" xr:uid="{00000000-0009-0000-0100-00000B000000}"/>
  <tableColumns count="4">
    <tableColumn id="1" xr3:uid="{00000000-0010-0000-0300-000001000000}" name="GIFTS AND DONATIONS" totalsRowLabel="Total" dataDxfId="1543" totalsRowDxfId="1542"/>
    <tableColumn id="2" xr3:uid="{00000000-0010-0000-0300-000002000000}" name="Projected Cost" totalsRowFunction="sum" dataDxfId="1541" totalsRowDxfId="1540"/>
    <tableColumn id="3" xr3:uid="{00000000-0010-0000-0300-000003000000}" name="Actual Cost" totalsRowFunction="sum" dataDxfId="1539" totalsRowDxfId="1538"/>
    <tableColumn id="4" xr3:uid="{00000000-0010-0000-0300-000004000000}" name="Difference" totalsRowFunction="sum" dataDxfId="1537" totalsRowDxfId="1536">
      <calculatedColumnFormula>Table11[[#This Row],[Projected Cost]]-Table11[[#This Row],[Actual Cost]]</calculatedColumnFormula>
    </tableColumn>
  </tableColumns>
  <tableStyleInfo name="TableStyleMedium23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49C4249F-4ACD-4FA2-8959-0D533583FC00}" name="Table3140151162" displayName="Table3140151162" ref="B26:E34" totalsRowCount="1" headerRowDxfId="1115" dataDxfId="1114" totalsRowDxfId="1112" tableBorderDxfId="1113">
  <autoFilter ref="B26:E33" xr:uid="{00000000-0009-0000-0100-000003000000}"/>
  <tableColumns count="4">
    <tableColumn id="1" xr3:uid="{FACDB5B5-DAC6-42B4-B08D-3139C2FF863F}" name="TRANSPORTATION" totalsRowLabel="Total" dataDxfId="1111" totalsRowDxfId="1110"/>
    <tableColumn id="2" xr3:uid="{6F7602E1-E04D-4C8D-A3C2-65322A1B9564}" name="Projected Cost" totalsRowFunction="sum" dataDxfId="1109" totalsRowDxfId="1108"/>
    <tableColumn id="3" xr3:uid="{FB735C1C-2D68-4196-B522-DCD392124B33}" name="Actual Cost" totalsRowFunction="sum" dataDxfId="1107" totalsRowDxfId="1106"/>
    <tableColumn id="4" xr3:uid="{72737FEC-05B6-43CC-A75D-03EEC8BDD403}" name="Difference" totalsRowFunction="sum" dataDxfId="1105" totalsRowDxfId="1104">
      <calculatedColumnFormula>Table3140151162[[#This Row],[Projected Cost]]-Table3140151162[[#This Row],[Actual Cost]]</calculatedColumnFormula>
    </tableColumn>
  </tableColumns>
  <tableStyleInfo name="TableStyleMedium2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9A83AA10-3176-4A9F-A4AB-0AC0DE351B79}" name="Table8141152163" displayName="Table8141152163" ref="G25:J32" totalsRowCount="1" headerRowDxfId="1103" dataDxfId="1102" totalsRowDxfId="1100" tableBorderDxfId="1101">
  <autoFilter ref="G25:J31" xr:uid="{00000000-0009-0000-0100-000008000000}"/>
  <tableColumns count="4">
    <tableColumn id="1" xr3:uid="{97F10122-5AEF-4E0C-B761-D9F1B9DB6CF2}" name="LOANS/DEBT" totalsRowLabel="Total" dataDxfId="1099" totalsRowDxfId="1098"/>
    <tableColumn id="2" xr3:uid="{ABE506AD-7955-401D-92A8-957626E3F059}" name="Projected Cost" totalsRowFunction="sum" dataDxfId="1097" totalsRowDxfId="1096"/>
    <tableColumn id="3" xr3:uid="{1B684352-A9ED-42BF-8E58-2916440088E5}" name="Actual Cost" totalsRowFunction="sum" dataDxfId="1095" totalsRowDxfId="1094"/>
    <tableColumn id="4" xr3:uid="{E9754867-ADB1-4449-A2D5-DB52AD3BA04E}" name="Difference" totalsRowFunction="sum" dataDxfId="1093" totalsRowDxfId="1092">
      <calculatedColumnFormula>Table8141152163[[#This Row],[Projected Cost]]-Table8141152163[[#This Row],[Actual Cost]]</calculatedColumnFormula>
    </tableColumn>
  </tableColumns>
  <tableStyleInfo name="TableStyleMedium2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AE0FF5CE-69B8-444E-BE01-7F6568EE834C}" name="Table10142153164" displayName="Table10142153164" ref="G41:J45" totalsRowCount="1" headerRowDxfId="1091" dataDxfId="1090" totalsRowDxfId="1088" tableBorderDxfId="1089">
  <autoFilter ref="G41:J44" xr:uid="{00000000-0009-0000-0100-00000A000000}"/>
  <tableColumns count="4">
    <tableColumn id="1" xr3:uid="{20818A3C-87A4-4E5A-9B41-759C85552DAD}" name="SAVINGS OR INVESTMENTS" totalsRowLabel="Total" dataDxfId="1087" totalsRowDxfId="1086"/>
    <tableColumn id="2" xr3:uid="{64212057-A222-41FA-AE03-5AE10366579D}" name="Projected Cost" totalsRowFunction="sum" dataDxfId="1085" totalsRowDxfId="1084"/>
    <tableColumn id="3" xr3:uid="{5C4E743B-C85C-482E-83D3-F8933B410FCE}" name="Actual Cost" totalsRowFunction="sum" dataDxfId="1083" totalsRowDxfId="1082"/>
    <tableColumn id="4" xr3:uid="{75B8F6C9-B373-4653-BE07-7C4C3F248487}" name="Difference" totalsRowFunction="sum" dataDxfId="1081" totalsRowDxfId="1080">
      <calculatedColumnFormula>Table10142153164[[#This Row],[Projected Cost]]-Table10142153164[[#This Row],[Actual Cost]]</calculatedColumnFormula>
    </tableColumn>
  </tableColumns>
  <tableStyleInfo name="TableStyleMedium2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98B87A73-99DD-4D96-A568-99D7089A8D11}" name="Table7143154165" displayName="Table7143154165" ref="B57:E65" totalsRowCount="1" headerRowDxfId="1079" dataDxfId="1078" totalsRowDxfId="1076" tableBorderDxfId="1077">
  <autoFilter ref="B57:E64" xr:uid="{00000000-0009-0000-0100-000007000000}"/>
  <tableColumns count="4">
    <tableColumn id="1" xr3:uid="{D7466A40-4E11-404A-91D7-567820A6A902}" name="PERSONAL CARE" totalsRowLabel="Total" dataDxfId="1075" totalsRowDxfId="1074"/>
    <tableColumn id="2" xr3:uid="{BC41ABA0-0CD7-408F-9A01-D3CB32BDEAC2}" name="Projected Cost" totalsRowFunction="sum" dataDxfId="1073" totalsRowDxfId="1072"/>
    <tableColumn id="3" xr3:uid="{C9F132D6-195E-4B60-B815-A21455A79269}" name="Actual Cost" totalsRowFunction="sum" dataDxfId="1071" totalsRowDxfId="1070"/>
    <tableColumn id="4" xr3:uid="{7D7A7A9E-4560-423B-B15D-88D19656123A}" name="Difference" totalsRowFunction="sum" dataDxfId="1069" totalsRowDxfId="1068">
      <calculatedColumnFormula>Table7143154165[[#This Row],[Projected Cost]]-Table7143154165[[#This Row],[Actual Cost]]</calculatedColumnFormula>
    </tableColumn>
  </tableColumns>
  <tableStyleInfo name="TableStyleMedium2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DEAE6811-5172-45B9-B941-EDF63FF98D84}" name="Table2144155166" displayName="Table2144155166" ref="G13:J23" totalsRowCount="1" headerRowDxfId="1067" dataDxfId="1066" totalsRowDxfId="1064" tableBorderDxfId="1065">
  <autoFilter ref="G13:J22" xr:uid="{00000000-0009-0000-0100-000002000000}"/>
  <tableColumns count="4">
    <tableColumn id="1" xr3:uid="{4704FD02-ED25-4630-8790-04E86C9AE7F1}" name="ENTERTAINMENT" totalsRowLabel="Total" dataDxfId="1063" totalsRowDxfId="1062"/>
    <tableColumn id="2" xr3:uid="{6CC29A6B-1F14-4C50-B276-1C0E3A40067A}" name="Projected Cost" totalsRowFunction="sum" dataDxfId="1061" totalsRowDxfId="1060"/>
    <tableColumn id="3" xr3:uid="{624A4A7C-E060-4A51-9AC2-FC3804D36367}" name="Actual Cost" totalsRowFunction="sum" dataDxfId="1059" totalsRowDxfId="1058"/>
    <tableColumn id="4" xr3:uid="{2D9B36DA-1220-4EF9-B705-2A0E75F6BB0A}" name="Difference" totalsRowFunction="sum" dataDxfId="1057" totalsRowDxfId="1056">
      <calculatedColumnFormula>Table2144155166[[#This Row],[Projected Cost]]-Table2144155166[[#This Row],[Actual Cost]]</calculatedColumnFormula>
    </tableColumn>
  </tableColumns>
  <tableStyleInfo name="TableStyleMedium23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A118B528-551D-4AE0-A8DA-00BD89C7C9F7}" name="Table1134145156167" displayName="Table1134145156167" ref="B13:E24" totalsRowCount="1" headerRowDxfId="1055" dataDxfId="1054" totalsRowDxfId="1052" tableBorderDxfId="1053">
  <autoFilter ref="B13:E23" xr:uid="{00000000-0009-0000-0100-000001000000}"/>
  <tableColumns count="4">
    <tableColumn id="1" xr3:uid="{617868FC-09B1-40BF-9CE0-E4DE6AE0FDAE}" name="HOUSING" totalsRowLabel="Total" dataDxfId="1051" totalsRowDxfId="1050"/>
    <tableColumn id="2" xr3:uid="{5139EA57-5B79-407B-9522-73B24B8FB4B3}" name="Projected Cost" totalsRowFunction="sum" dataDxfId="1049" totalsRowDxfId="1048"/>
    <tableColumn id="3" xr3:uid="{A021B7CC-D6E9-4466-8EFC-6E7BEBD912B2}" name="Actual Cost" totalsRowFunction="sum" dataDxfId="1047" totalsRowDxfId="1046"/>
    <tableColumn id="4" xr3:uid="{D8BACE67-06EB-49C4-AA9A-94D5235A0C93}" name="Difference" totalsRowFunction="sum" dataDxfId="1045" totalsRowDxfId="1044">
      <calculatedColumnFormula>Table1134145156167[[#This Row],[Projected Cost]]-Table1134145156167[[#This Row],[Actual Cost]]</calculatedColumnFormula>
    </tableColumn>
  </tableColumns>
  <tableStyleInfo name="TableStyleMedium23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8569CA47-E270-4F73-B914-DB3B44B80AE2}" name="Table4135146157168" displayName="Table4135146157168" ref="B36:E41" totalsRowCount="1" headerRowDxfId="1043" dataDxfId="1042" totalsRowDxfId="1040" tableBorderDxfId="1041">
  <autoFilter ref="B36:E40" xr:uid="{00000000-0009-0000-0100-000004000000}"/>
  <tableColumns count="4">
    <tableColumn id="1" xr3:uid="{8B1F8ACB-34A6-4D5D-B1EB-4ADD522403C8}" name="INSURANCE" totalsRowLabel="Total" dataDxfId="1039" totalsRowDxfId="1038"/>
    <tableColumn id="2" xr3:uid="{9298BBE5-7A7D-447B-92C6-15EC1DE7538E}" name="Projected Cost" totalsRowFunction="sum" dataDxfId="1037" totalsRowDxfId="1036"/>
    <tableColumn id="3" xr3:uid="{A6E29335-FCDB-4940-BEA5-3A0C13BA571B}" name="Actual Cost" totalsRowFunction="sum" dataDxfId="1035" totalsRowDxfId="1034"/>
    <tableColumn id="4" xr3:uid="{3F7ABE73-5F99-4138-A1CD-7352A6726C6E}" name="Difference" totalsRowFunction="sum" dataDxfId="1033" totalsRowDxfId="1032">
      <calculatedColumnFormula>Table4135146157168[[#This Row],[Projected Cost]]-Table4135146157168[[#This Row],[Actual Cost]]</calculatedColumnFormula>
    </tableColumn>
  </tableColumns>
  <tableStyleInfo name="TableStyleMedium23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FD5FF64A-A372-4E0F-A788-15CA0C05A0FF}" name="Table6136147158169" displayName="Table6136147158169" ref="B49:E55" totalsRowCount="1" headerRowDxfId="1031" dataDxfId="1030" totalsRowDxfId="1028" tableBorderDxfId="1029">
  <autoFilter ref="B49:E54" xr:uid="{00000000-0009-0000-0100-000006000000}"/>
  <tableColumns count="4">
    <tableColumn id="1" xr3:uid="{A0478BDD-AF3F-456D-B85C-3D55F1C9F621}" name="PETS" totalsRowLabel="Total" dataDxfId="1027" totalsRowDxfId="1026"/>
    <tableColumn id="2" xr3:uid="{E987E42D-EF3D-4C1A-97FE-81CA8C3D6692}" name="Projected Cost" totalsRowFunction="sum" dataDxfId="1025" totalsRowDxfId="1024"/>
    <tableColumn id="3" xr3:uid="{5CE86AB2-1543-400F-BB2B-BB60035DC03C}" name="Actual Cost" totalsRowFunction="sum" dataDxfId="1023" totalsRowDxfId="1022"/>
    <tableColumn id="4" xr3:uid="{0F9AB252-2722-4051-894F-817DCAE00909}" name="Difference" totalsRowFunction="sum" dataDxfId="1021" totalsRowDxfId="1020">
      <calculatedColumnFormula>Table6136147158169[[#This Row],[Projected Cost]]-Table6136147158169[[#This Row],[Actual Cost]]</calculatedColumnFormula>
    </tableColumn>
  </tableColumns>
  <tableStyleInfo name="TableStyleMedium23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3C86980D-844D-4D69-AA49-B086C2FD7F8E}" name="Table11137148159170" displayName="Table11137148159170" ref="G47:J51" totalsRowCount="1" headerRowDxfId="1019" dataDxfId="1018" totalsRowDxfId="1016" tableBorderDxfId="1017">
  <autoFilter ref="G47:J50" xr:uid="{00000000-0009-0000-0100-00000B000000}"/>
  <tableColumns count="4">
    <tableColumn id="1" xr3:uid="{950A2816-E57F-4A74-954B-4C6F64D1EEAD}" name="GIFTS AND DONATIONS" totalsRowLabel="Total" dataDxfId="1015" totalsRowDxfId="1014"/>
    <tableColumn id="2" xr3:uid="{36C6FBF4-7167-4349-A88D-9C922A4C3718}" name="Projected Cost" totalsRowFunction="sum" dataDxfId="1013" totalsRowDxfId="1012"/>
    <tableColumn id="3" xr3:uid="{A1236B48-85EB-488D-A94B-15B7FEA72D70}" name="Actual Cost" totalsRowFunction="sum" dataDxfId="1011" totalsRowDxfId="1010"/>
    <tableColumn id="4" xr3:uid="{764A1BE1-5C67-4650-82B5-9BDD691BF57A}" name="Difference" totalsRowFunction="sum" dataDxfId="1009" totalsRowDxfId="1008">
      <calculatedColumnFormula>Table11137148159170[[#This Row],[Projected Cost]]-Table11137148159170[[#This Row],[Actual Cost]]</calculatedColumnFormula>
    </tableColumn>
  </tableColumns>
  <tableStyleInfo name="TableStyleMedium23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350F1EF4-D339-4615-8577-119EE4D821FF}" name="Table5138149160171" displayName="Table5138149160171" ref="B43:E47" totalsRowCount="1" headerRowDxfId="1007" dataDxfId="1006" totalsRowDxfId="1004" tableBorderDxfId="1005">
  <autoFilter ref="B43:E46" xr:uid="{00000000-0009-0000-0100-000005000000}"/>
  <tableColumns count="4">
    <tableColumn id="1" xr3:uid="{0A9B4FE0-D4F3-473A-A8D8-CEBDC6D18CF8}" name="FOOD" totalsRowLabel="Total" dataDxfId="1003" totalsRowDxfId="1002"/>
    <tableColumn id="2" xr3:uid="{7B7208B2-0AE0-40A8-9B54-A4B4D27168F7}" name="Projected Cost" totalsRowFunction="sum" dataDxfId="1001" totalsRowDxfId="1000"/>
    <tableColumn id="3" xr3:uid="{450A278A-50C4-440E-B794-F9D6BCFE6920}" name="Actual Cost" totalsRowFunction="sum" dataDxfId="999" totalsRowDxfId="998"/>
    <tableColumn id="4" xr3:uid="{0B9D85B7-D87A-47C0-BB98-4F93C5985EBE}" name="Difference" totalsRowFunction="sum" dataDxfId="997" totalsRowDxfId="996">
      <calculatedColumnFormula>Table5138149160171[[#This Row],[Projected Cost]]-Table5138149160171[[#This Row],[Actual Cost]]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B43:E47" totalsRowCount="1" headerRowDxfId="1535" dataDxfId="1534" totalsRowDxfId="1532" tableBorderDxfId="1533">
  <autoFilter ref="B43:E46" xr:uid="{00000000-0009-0000-0100-000005000000}"/>
  <tableColumns count="4">
    <tableColumn id="1" xr3:uid="{00000000-0010-0000-0400-000001000000}" name="FOOD" totalsRowLabel="Total" dataDxfId="1531" totalsRowDxfId="1530"/>
    <tableColumn id="2" xr3:uid="{00000000-0010-0000-0400-000002000000}" name="Projected Cost" totalsRowFunction="sum" dataDxfId="1529" totalsRowDxfId="1528"/>
    <tableColumn id="3" xr3:uid="{00000000-0010-0000-0400-000003000000}" name="Actual Cost" totalsRowFunction="sum" dataDxfId="1527" totalsRowDxfId="1526"/>
    <tableColumn id="4" xr3:uid="{00000000-0010-0000-0400-000004000000}" name="Difference" totalsRowFunction="sum" dataDxfId="1525" totalsRowDxfId="1524">
      <calculatedColumnFormula>Table5[[#This Row],[Projected Cost]]-Table5[[#This Row],[Actual Cost]]</calculatedColumnFormula>
    </tableColumn>
  </tableColumns>
  <tableStyleInfo name="TableStyleMedium23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EE0585E1-1C22-4A60-A1F7-FBF639EEE58D}" name="Table9139150161172" displayName="Table9139150161172" ref="G34:J39" totalsRowCount="1" headerRowDxfId="995" dataDxfId="994" totalsRowDxfId="992" tableBorderDxfId="993">
  <autoFilter ref="G34:J38" xr:uid="{00000000-0009-0000-0100-000009000000}"/>
  <tableColumns count="4">
    <tableColumn id="1" xr3:uid="{79FFC82E-957A-4F94-A572-C777929434B9}" name="Other" totalsRowLabel="Total" dataDxfId="991" totalsRowDxfId="990"/>
    <tableColumn id="2" xr3:uid="{11FEFA16-C069-4AAA-9ED4-BC7DF4AF9BF1}" name="Projected Cost" totalsRowFunction="sum" dataDxfId="989" totalsRowDxfId="988"/>
    <tableColumn id="3" xr3:uid="{6D7DED98-4A69-4C11-B258-6B8D02499DB0}" name="Actual Cost" totalsRowFunction="sum" dataDxfId="987" totalsRowDxfId="986"/>
    <tableColumn id="4" xr3:uid="{943599B7-5F51-43FC-BE09-5E75F187B294}" name="Difference" totalsRowFunction="sum" dataDxfId="985" totalsRowDxfId="984">
      <calculatedColumnFormula>Table9139150161172[[#This Row],[Projected Cost]]-Table9139150161172[[#This Row],[Actual Cost]]</calculatedColumnFormula>
    </tableColumn>
  </tableColumns>
  <tableStyleInfo name="TableStyleMedium23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FF0CA931-42F1-47A0-BB81-01FB3492EE8B}" name="Table3140151162173" displayName="Table3140151162173" ref="B26:E34" totalsRowCount="1" headerRowDxfId="983" dataDxfId="982" totalsRowDxfId="980" tableBorderDxfId="981">
  <autoFilter ref="B26:E33" xr:uid="{00000000-0009-0000-0100-000003000000}"/>
  <tableColumns count="4">
    <tableColumn id="1" xr3:uid="{8C41B828-955B-4AC5-885D-1E73C4004773}" name="TRANSPORTATION" totalsRowLabel="Total" dataDxfId="979" totalsRowDxfId="978"/>
    <tableColumn id="2" xr3:uid="{248929D1-0497-4CE1-9335-10D359D30329}" name="Projected Cost" totalsRowFunction="sum" dataDxfId="977" totalsRowDxfId="976"/>
    <tableColumn id="3" xr3:uid="{FDEE244C-1322-448B-A025-6CE4CC90D7B3}" name="Actual Cost" totalsRowFunction="sum" dataDxfId="975" totalsRowDxfId="974"/>
    <tableColumn id="4" xr3:uid="{8916098E-DDCA-4585-9191-43A5A96FF31C}" name="Difference" totalsRowFunction="sum" dataDxfId="973" totalsRowDxfId="972">
      <calculatedColumnFormula>Table3140151162173[[#This Row],[Projected Cost]]-Table3140151162173[[#This Row],[Actual Cost]]</calculatedColumnFormula>
    </tableColumn>
  </tableColumns>
  <tableStyleInfo name="TableStyleMedium23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B5CC2D4E-9C7F-4C50-ADA2-DBA69A362BC5}" name="Table8141152163174" displayName="Table8141152163174" ref="G25:J32" totalsRowCount="1" headerRowDxfId="971" dataDxfId="970" totalsRowDxfId="968" tableBorderDxfId="969">
  <autoFilter ref="G25:J31" xr:uid="{00000000-0009-0000-0100-000008000000}"/>
  <tableColumns count="4">
    <tableColumn id="1" xr3:uid="{20133380-C712-4D16-BCA9-5FE047C9F2DC}" name="LOANS/DEBT" totalsRowLabel="Total" dataDxfId="967" totalsRowDxfId="966"/>
    <tableColumn id="2" xr3:uid="{691F8E67-3D93-40B7-915A-EFF4CB36061E}" name="Projected Cost" totalsRowFunction="sum" dataDxfId="965" totalsRowDxfId="964"/>
    <tableColumn id="3" xr3:uid="{B5190A98-BD7F-42F3-A873-FF8AB837D09A}" name="Actual Cost" totalsRowFunction="sum" dataDxfId="963" totalsRowDxfId="962"/>
    <tableColumn id="4" xr3:uid="{56202532-FBC1-46DC-907C-7F13F7828DDD}" name="Difference" totalsRowFunction="sum" dataDxfId="961" totalsRowDxfId="960">
      <calculatedColumnFormula>Table8141152163174[[#This Row],[Projected Cost]]-Table8141152163174[[#This Row],[Actual Cost]]</calculatedColumnFormula>
    </tableColumn>
  </tableColumns>
  <tableStyleInfo name="TableStyleMedium23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D998D814-EEA0-4214-A245-F16850797F05}" name="Table10142153164175" displayName="Table10142153164175" ref="G41:J45" totalsRowCount="1" headerRowDxfId="959" dataDxfId="958" totalsRowDxfId="956" tableBorderDxfId="957">
  <autoFilter ref="G41:J44" xr:uid="{00000000-0009-0000-0100-00000A000000}"/>
  <tableColumns count="4">
    <tableColumn id="1" xr3:uid="{1F0C2B32-838B-4E99-BD32-D32F626E5F1E}" name="SAVINGS OR INVESTMENTS" totalsRowLabel="Total" dataDxfId="955" totalsRowDxfId="954"/>
    <tableColumn id="2" xr3:uid="{6E9AC15B-2ED8-4039-9155-99A47DD3A0EC}" name="Projected Cost" totalsRowFunction="sum" dataDxfId="953" totalsRowDxfId="952"/>
    <tableColumn id="3" xr3:uid="{A51220EE-9AF8-4CA3-AD49-45D2A77B86E1}" name="Actual Cost" totalsRowFunction="sum" dataDxfId="951" totalsRowDxfId="950"/>
    <tableColumn id="4" xr3:uid="{97B1BC50-CAD3-481E-951F-70957885F8D1}" name="Difference" totalsRowFunction="sum" dataDxfId="949" totalsRowDxfId="948">
      <calculatedColumnFormula>Table10142153164175[[#This Row],[Projected Cost]]-Table10142153164175[[#This Row],[Actual Cost]]</calculatedColumnFormula>
    </tableColumn>
  </tableColumns>
  <tableStyleInfo name="TableStyleMedium23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730604DA-FAC4-4FDF-BF13-AC27BC248F9A}" name="Table7143154165176" displayName="Table7143154165176" ref="B57:E65" totalsRowCount="1" headerRowDxfId="947" dataDxfId="946" totalsRowDxfId="944" tableBorderDxfId="945">
  <autoFilter ref="B57:E64" xr:uid="{00000000-0009-0000-0100-000007000000}"/>
  <tableColumns count="4">
    <tableColumn id="1" xr3:uid="{23BF1B68-2AAF-4EE8-AB64-2C48C90EE419}" name="PERSONAL CARE" totalsRowLabel="Total" dataDxfId="943" totalsRowDxfId="942"/>
    <tableColumn id="2" xr3:uid="{C31C0E75-6362-487C-B968-312084224786}" name="Projected Cost" totalsRowFunction="sum" dataDxfId="941" totalsRowDxfId="940"/>
    <tableColumn id="3" xr3:uid="{B87B7CE2-BAD6-4D74-86C4-B360D04F23BD}" name="Actual Cost" totalsRowFunction="sum" dataDxfId="939" totalsRowDxfId="938"/>
    <tableColumn id="4" xr3:uid="{0DE39F4E-2812-47CF-BBF8-B15ACF73C242}" name="Difference" totalsRowFunction="sum" dataDxfId="937" totalsRowDxfId="936">
      <calculatedColumnFormula>Table7143154165176[[#This Row],[Projected Cost]]-Table7143154165176[[#This Row],[Actual Cost]]</calculatedColumnFormula>
    </tableColumn>
  </tableColumns>
  <tableStyleInfo name="TableStyleMedium23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47BFC848-2C78-4AC9-ADC1-CBFC66CBE057}" name="Table2144155166177" displayName="Table2144155166177" ref="G13:J23" totalsRowCount="1" headerRowDxfId="935" dataDxfId="934" totalsRowDxfId="932" tableBorderDxfId="933">
  <autoFilter ref="G13:J22" xr:uid="{00000000-0009-0000-0100-000002000000}"/>
  <tableColumns count="4">
    <tableColumn id="1" xr3:uid="{91B47687-5DF8-427D-94FB-B66B4555FCFD}" name="ENTERTAINMENT" totalsRowLabel="Total" dataDxfId="931" totalsRowDxfId="930"/>
    <tableColumn id="2" xr3:uid="{90CF5C74-7443-40FE-B593-2293ECF0D13B}" name="Projected Cost" totalsRowFunction="sum" dataDxfId="929" totalsRowDxfId="928"/>
    <tableColumn id="3" xr3:uid="{806910AC-06AD-4E22-8C0C-E7472921C3F9}" name="Actual Cost" totalsRowFunction="sum" dataDxfId="927" totalsRowDxfId="926"/>
    <tableColumn id="4" xr3:uid="{C9E1D9FF-0045-4F48-8630-891D3181D565}" name="Difference" totalsRowFunction="sum" dataDxfId="925" totalsRowDxfId="924">
      <calculatedColumnFormula>Table2144155166177[[#This Row],[Projected Cost]]-Table2144155166177[[#This Row],[Actual Cost]]</calculatedColumnFormula>
    </tableColumn>
  </tableColumns>
  <tableStyleInfo name="TableStyleMedium23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033E068E-A020-45EF-AE51-BB8FAFD141D0}" name="Table1134145156167178" displayName="Table1134145156167178" ref="B13:E24" totalsRowCount="1" headerRowDxfId="923" dataDxfId="922" totalsRowDxfId="920" tableBorderDxfId="921">
  <autoFilter ref="B13:E23" xr:uid="{00000000-0009-0000-0100-000001000000}"/>
  <tableColumns count="4">
    <tableColumn id="1" xr3:uid="{11A6A71D-B8B4-4936-BD72-5E2A4F6E7387}" name="HOUSING" totalsRowLabel="Total" dataDxfId="919" totalsRowDxfId="918"/>
    <tableColumn id="2" xr3:uid="{AAB147D9-45A5-4A85-BB92-CBB2DF2FE60E}" name="Projected Cost" totalsRowFunction="sum" dataDxfId="917" totalsRowDxfId="916"/>
    <tableColumn id="3" xr3:uid="{9DEFBEDB-7EFF-45C4-9A07-A9C4677A70E1}" name="Actual Cost" totalsRowFunction="sum" dataDxfId="915" totalsRowDxfId="914"/>
    <tableColumn id="4" xr3:uid="{95CC76C7-D015-4D39-8E57-0487857CF4A9}" name="Difference" totalsRowFunction="sum" dataDxfId="913" totalsRowDxfId="912">
      <calculatedColumnFormula>Table1134145156167178[[#This Row],[Projected Cost]]-Table1134145156167178[[#This Row],[Actual Cost]]</calculatedColumnFormula>
    </tableColumn>
  </tableColumns>
  <tableStyleInfo name="TableStyleMedium23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AA12A33C-0ECD-47B5-99C2-912E975A2E4B}" name="Table4135146157168179" displayName="Table4135146157168179" ref="B36:E41" totalsRowCount="1" headerRowDxfId="911" dataDxfId="910" totalsRowDxfId="908" tableBorderDxfId="909">
  <autoFilter ref="B36:E40" xr:uid="{00000000-0009-0000-0100-000004000000}"/>
  <tableColumns count="4">
    <tableColumn id="1" xr3:uid="{2F7433BE-D2A7-4D9A-AE8B-07D813F10ABD}" name="INSURANCE" totalsRowLabel="Total" dataDxfId="907" totalsRowDxfId="906"/>
    <tableColumn id="2" xr3:uid="{C94BD867-8004-42D7-94F7-0735E5AC6B69}" name="Projected Cost" totalsRowFunction="sum" dataDxfId="905" totalsRowDxfId="904"/>
    <tableColumn id="3" xr3:uid="{AFB15114-9D90-46E0-8E7F-2160EF51B479}" name="Actual Cost" totalsRowFunction="sum" dataDxfId="903" totalsRowDxfId="902"/>
    <tableColumn id="4" xr3:uid="{AD10F5BF-8A42-4854-AE06-2E8FBC58407D}" name="Difference" totalsRowFunction="sum" dataDxfId="901" totalsRowDxfId="900">
      <calculatedColumnFormula>Table4135146157168179[[#This Row],[Projected Cost]]-Table4135146157168179[[#This Row],[Actual Cost]]</calculatedColumnFormula>
    </tableColumn>
  </tableColumns>
  <tableStyleInfo name="TableStyleMedium23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B6500209-B5A4-43BB-B0DA-071C2F5B7CA1}" name="Table6136147158169180" displayName="Table6136147158169180" ref="B49:E55" totalsRowCount="1" headerRowDxfId="899" dataDxfId="898" totalsRowDxfId="896" tableBorderDxfId="897">
  <autoFilter ref="B49:E54" xr:uid="{00000000-0009-0000-0100-000006000000}"/>
  <tableColumns count="4">
    <tableColumn id="1" xr3:uid="{A5992697-C29F-48D2-96A0-3DB5968CCEA0}" name="PETS" totalsRowLabel="Total" dataDxfId="895" totalsRowDxfId="894"/>
    <tableColumn id="2" xr3:uid="{9864ADF2-58BA-42B7-9CB5-8AEB269C0C7F}" name="Projected Cost" totalsRowFunction="sum" dataDxfId="893" totalsRowDxfId="892"/>
    <tableColumn id="3" xr3:uid="{EA0F0F10-2516-4FD0-86B6-6C8747BC3392}" name="Actual Cost" totalsRowFunction="sum" dataDxfId="891" totalsRowDxfId="890"/>
    <tableColumn id="4" xr3:uid="{6796AC61-B38C-49A9-A5B0-757B04DA37AF}" name="Difference" totalsRowFunction="sum" dataDxfId="889" totalsRowDxfId="888">
      <calculatedColumnFormula>Table6136147158169180[[#This Row],[Projected Cost]]-Table6136147158169180[[#This Row],[Actual Cost]]</calculatedColumnFormula>
    </tableColumn>
  </tableColumns>
  <tableStyleInfo name="TableStyleMedium23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0285E3AF-3C2B-4958-A267-5BF1B8074D3A}" name="Table11137148159170181" displayName="Table11137148159170181" ref="G47:J51" totalsRowCount="1" headerRowDxfId="887" dataDxfId="886" totalsRowDxfId="884" tableBorderDxfId="885">
  <autoFilter ref="G47:J50" xr:uid="{00000000-0009-0000-0100-00000B000000}"/>
  <tableColumns count="4">
    <tableColumn id="1" xr3:uid="{D6353443-BF95-4345-83CD-11601443B770}" name="GIFTS AND DONATIONS" totalsRowLabel="Total" dataDxfId="883" totalsRowDxfId="882"/>
    <tableColumn id="2" xr3:uid="{E134C66F-4269-4E62-8EF3-B0D083005E01}" name="Projected Cost" totalsRowFunction="sum" dataDxfId="881" totalsRowDxfId="880"/>
    <tableColumn id="3" xr3:uid="{F9256C1F-100E-41CF-8633-D7A71C8B79C7}" name="Actual Cost" totalsRowFunction="sum" dataDxfId="879" totalsRowDxfId="878"/>
    <tableColumn id="4" xr3:uid="{3B53765B-61FA-4775-9947-929590893A09}" name="Difference" totalsRowFunction="sum" dataDxfId="877" totalsRowDxfId="876">
      <calculatedColumnFormula>Table11137148159170181[[#This Row],[Projected Cost]]-Table11137148159170181[[#This Row],[Actual Cost]]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9" displayName="Table9" ref="G34:J39" totalsRowCount="1" headerRowDxfId="1523" dataDxfId="1522" totalsRowDxfId="1520" tableBorderDxfId="1521">
  <autoFilter ref="G34:J38" xr:uid="{00000000-0009-0000-0100-000009000000}"/>
  <tableColumns count="4">
    <tableColumn id="1" xr3:uid="{00000000-0010-0000-0500-000001000000}" name="Other" totalsRowLabel="Total" dataDxfId="1519" totalsRowDxfId="1518"/>
    <tableColumn id="2" xr3:uid="{00000000-0010-0000-0500-000002000000}" name="Projected Cost" totalsRowFunction="sum" dataDxfId="1517" totalsRowDxfId="1516"/>
    <tableColumn id="3" xr3:uid="{00000000-0010-0000-0500-000003000000}" name="Actual Cost" totalsRowFunction="sum" dataDxfId="1515" totalsRowDxfId="1514"/>
    <tableColumn id="4" xr3:uid="{00000000-0010-0000-0500-000004000000}" name="Difference" totalsRowFunction="sum" dataDxfId="1513" totalsRowDxfId="1512">
      <calculatedColumnFormula>Table9[[#This Row],[Projected Cost]]-Table9[[#This Row],[Actual Cost]]</calculatedColumnFormula>
    </tableColumn>
  </tableColumns>
  <tableStyleInfo name="TableStyleMedium23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7A23AA0B-CCC4-4961-B1A9-67F2E57BBBD9}" name="Table5138149160171182" displayName="Table5138149160171182" ref="B43:E47" totalsRowCount="1" headerRowDxfId="875" dataDxfId="874" totalsRowDxfId="872" tableBorderDxfId="873">
  <autoFilter ref="B43:E46" xr:uid="{00000000-0009-0000-0100-000005000000}"/>
  <tableColumns count="4">
    <tableColumn id="1" xr3:uid="{0EC45CAC-7B1E-4234-8267-DE5CFD4F6ADE}" name="FOOD" totalsRowLabel="Total" dataDxfId="871" totalsRowDxfId="870"/>
    <tableColumn id="2" xr3:uid="{D74F6C60-54AA-4FCA-8A35-8FC30B6721D7}" name="Projected Cost" totalsRowFunction="sum" dataDxfId="869" totalsRowDxfId="868"/>
    <tableColumn id="3" xr3:uid="{6D693AFC-B58D-45FA-94DD-D7BEF1295CA2}" name="Actual Cost" totalsRowFunction="sum" dataDxfId="867" totalsRowDxfId="866"/>
    <tableColumn id="4" xr3:uid="{74CDB77D-7BF5-48D1-ACFA-DC9839C908DF}" name="Difference" totalsRowFunction="sum" dataDxfId="865" totalsRowDxfId="864">
      <calculatedColumnFormula>Table5138149160171182[[#This Row],[Projected Cost]]-Table5138149160171182[[#This Row],[Actual Cost]]</calculatedColumnFormula>
    </tableColumn>
  </tableColumns>
  <tableStyleInfo name="TableStyleMedium23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62459CA2-50CF-4DF5-A3E8-AA4B2CBBE5A8}" name="Table9139150161172183" displayName="Table9139150161172183" ref="G34:J39" totalsRowCount="1" headerRowDxfId="863" dataDxfId="862" totalsRowDxfId="860" tableBorderDxfId="861">
  <autoFilter ref="G34:J38" xr:uid="{00000000-0009-0000-0100-000009000000}"/>
  <tableColumns count="4">
    <tableColumn id="1" xr3:uid="{04E5863E-F912-4F86-881C-058198398A67}" name="Other" totalsRowLabel="Total" dataDxfId="859" totalsRowDxfId="858"/>
    <tableColumn id="2" xr3:uid="{35B99233-7775-482E-851A-FB59A35CA4F7}" name="Projected Cost" totalsRowFunction="sum" dataDxfId="857" totalsRowDxfId="856"/>
    <tableColumn id="3" xr3:uid="{A98F745A-9AEE-475D-A292-9F8A3643119B}" name="Actual Cost" totalsRowFunction="sum" dataDxfId="855" totalsRowDxfId="854"/>
    <tableColumn id="4" xr3:uid="{DB5395C7-08F5-4947-AD06-38EFE66B04F6}" name="Difference" totalsRowFunction="sum" dataDxfId="853" totalsRowDxfId="852">
      <calculatedColumnFormula>Table9139150161172183[[#This Row],[Projected Cost]]-Table9139150161172183[[#This Row],[Actual Cost]]</calculatedColumnFormula>
    </tableColumn>
  </tableColumns>
  <tableStyleInfo name="TableStyleMedium23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5C4760D1-CF5F-4652-8342-0F2C6D6474CF}" name="Table3140151162173184" displayName="Table3140151162173184" ref="B26:E34" totalsRowCount="1" headerRowDxfId="851" dataDxfId="850" totalsRowDxfId="848" tableBorderDxfId="849">
  <autoFilter ref="B26:E33" xr:uid="{00000000-0009-0000-0100-000003000000}"/>
  <tableColumns count="4">
    <tableColumn id="1" xr3:uid="{5D8C5C53-0060-4058-B186-AD4998000B7A}" name="TRANSPORTATION" totalsRowLabel="Total" dataDxfId="847" totalsRowDxfId="846"/>
    <tableColumn id="2" xr3:uid="{042BFF9A-2F10-4F34-A697-EABA9C70EB92}" name="Projected Cost" totalsRowFunction="sum" dataDxfId="845" totalsRowDxfId="844"/>
    <tableColumn id="3" xr3:uid="{4922ED28-B701-4776-9769-F74CF967D077}" name="Actual Cost" totalsRowFunction="sum" dataDxfId="843" totalsRowDxfId="842"/>
    <tableColumn id="4" xr3:uid="{55FDB7F9-7C90-49FC-81E8-87DD576EDE73}" name="Difference" totalsRowFunction="sum" dataDxfId="841" totalsRowDxfId="840">
      <calculatedColumnFormula>Table3140151162173184[[#This Row],[Projected Cost]]-Table3140151162173184[[#This Row],[Actual Cost]]</calculatedColumnFormula>
    </tableColumn>
  </tableColumns>
  <tableStyleInfo name="TableStyleMedium23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1537F005-C69B-47F7-B32B-125789D6E3EA}" name="Table8141152163174185" displayName="Table8141152163174185" ref="G25:J32" totalsRowCount="1" headerRowDxfId="839" dataDxfId="838" totalsRowDxfId="836" tableBorderDxfId="837">
  <autoFilter ref="G25:J31" xr:uid="{00000000-0009-0000-0100-000008000000}"/>
  <tableColumns count="4">
    <tableColumn id="1" xr3:uid="{3BA9672A-BEE6-44A3-ABD8-52B4C0D16917}" name="LOANS/DEBT" totalsRowLabel="Total" dataDxfId="835" totalsRowDxfId="834"/>
    <tableColumn id="2" xr3:uid="{C759F2D5-E1DF-4DA0-8A3F-0EB2B00E290A}" name="Projected Cost" totalsRowFunction="sum" dataDxfId="833" totalsRowDxfId="832"/>
    <tableColumn id="3" xr3:uid="{741F82CA-B0F2-46AB-8CD3-6B0E7172BC0E}" name="Actual Cost" totalsRowFunction="sum" dataDxfId="831" totalsRowDxfId="830"/>
    <tableColumn id="4" xr3:uid="{8BF2EDB3-8C1F-4C54-894F-D3636958E56A}" name="Difference" totalsRowFunction="sum" dataDxfId="829" totalsRowDxfId="828">
      <calculatedColumnFormula>Table8141152163174185[[#This Row],[Projected Cost]]-Table8141152163174185[[#This Row],[Actual Cost]]</calculatedColumnFormula>
    </tableColumn>
  </tableColumns>
  <tableStyleInfo name="TableStyleMedium23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F9F3D475-C1A0-4D9D-A1E3-1B532608CAB8}" name="Table10142153164175186" displayName="Table10142153164175186" ref="G41:J45" totalsRowCount="1" headerRowDxfId="827" dataDxfId="826" totalsRowDxfId="824" tableBorderDxfId="825">
  <autoFilter ref="G41:J44" xr:uid="{00000000-0009-0000-0100-00000A000000}"/>
  <tableColumns count="4">
    <tableColumn id="1" xr3:uid="{1C0EE6F6-987F-417C-B181-5BFAE48B7E6C}" name="SAVINGS OR INVESTMENTS" totalsRowLabel="Total" dataDxfId="823" totalsRowDxfId="822"/>
    <tableColumn id="2" xr3:uid="{68293FCA-13AF-4327-8094-5480A86ABF73}" name="Projected Cost" totalsRowFunction="sum" dataDxfId="821" totalsRowDxfId="820"/>
    <tableColumn id="3" xr3:uid="{CC7499FC-C30C-4085-AB53-85255D8FA218}" name="Actual Cost" totalsRowFunction="sum" dataDxfId="819" totalsRowDxfId="818"/>
    <tableColumn id="4" xr3:uid="{350CF154-70A7-4EB8-B90C-1EC7CF3B631D}" name="Difference" totalsRowFunction="sum" dataDxfId="817" totalsRowDxfId="816">
      <calculatedColumnFormula>Table10142153164175186[[#This Row],[Projected Cost]]-Table10142153164175186[[#This Row],[Actual Cost]]</calculatedColumnFormula>
    </tableColumn>
  </tableColumns>
  <tableStyleInfo name="TableStyleMedium23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75B407E5-A8C6-455B-A20D-6BE65CF2FCB8}" name="Table7143154165176187" displayName="Table7143154165176187" ref="B57:E65" totalsRowCount="1" headerRowDxfId="815" dataDxfId="814" totalsRowDxfId="812" tableBorderDxfId="813">
  <autoFilter ref="B57:E64" xr:uid="{00000000-0009-0000-0100-000007000000}"/>
  <tableColumns count="4">
    <tableColumn id="1" xr3:uid="{86CF5535-E7BF-4792-BAE7-F02BD65081EE}" name="PERSONAL CARE" totalsRowLabel="Total" dataDxfId="811" totalsRowDxfId="810"/>
    <tableColumn id="2" xr3:uid="{21F25DFC-7C0C-4A51-87F0-8EFABB7F6EB5}" name="Projected Cost" totalsRowFunction="sum" dataDxfId="809" totalsRowDxfId="808"/>
    <tableColumn id="3" xr3:uid="{256C2A15-33CC-4E8C-AA2B-77A6DDB21690}" name="Actual Cost" totalsRowFunction="sum" dataDxfId="807" totalsRowDxfId="806"/>
    <tableColumn id="4" xr3:uid="{F6DC7371-34AF-4FD3-9446-8E39A68630F2}" name="Difference" totalsRowFunction="sum" dataDxfId="805" totalsRowDxfId="804">
      <calculatedColumnFormula>Table7143154165176187[[#This Row],[Projected Cost]]-Table7143154165176187[[#This Row],[Actual Cost]]</calculatedColumnFormula>
    </tableColumn>
  </tableColumns>
  <tableStyleInfo name="TableStyleMedium23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AFC3C6F4-6F7C-48EC-8186-C9B4E9DC3A4B}" name="Table2144155166177188" displayName="Table2144155166177188" ref="G13:J23" totalsRowCount="1" headerRowDxfId="803" dataDxfId="802" totalsRowDxfId="800" tableBorderDxfId="801">
  <autoFilter ref="G13:J22" xr:uid="{00000000-0009-0000-0100-000002000000}"/>
  <tableColumns count="4">
    <tableColumn id="1" xr3:uid="{766E7E50-C1EF-4961-BDAE-026811DD339A}" name="ENTERTAINMENT" totalsRowLabel="Total" dataDxfId="799" totalsRowDxfId="798"/>
    <tableColumn id="2" xr3:uid="{39413EE0-B50A-48F5-884D-931A7EF49FFB}" name="Projected Cost" totalsRowFunction="sum" dataDxfId="797" totalsRowDxfId="796"/>
    <tableColumn id="3" xr3:uid="{AE1FFAC1-2B35-4C15-9329-E3345EA3B9D0}" name="Actual Cost" totalsRowFunction="sum" dataDxfId="795" totalsRowDxfId="794"/>
    <tableColumn id="4" xr3:uid="{7B24FC67-F545-465E-BC27-3CC741EB04EA}" name="Difference" totalsRowFunction="sum" dataDxfId="793" totalsRowDxfId="792">
      <calculatedColumnFormula>Table2144155166177188[[#This Row],[Projected Cost]]-Table2144155166177188[[#This Row],[Actual Cost]]</calculatedColumnFormula>
    </tableColumn>
  </tableColumns>
  <tableStyleInfo name="TableStyleMedium23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A39634B0-9719-4966-9B0C-F006E615F53E}" name="Table1134145156167178189" displayName="Table1134145156167178189" ref="B13:E24" totalsRowCount="1" headerRowDxfId="791" dataDxfId="790" totalsRowDxfId="788" tableBorderDxfId="789">
  <autoFilter ref="B13:E23" xr:uid="{00000000-0009-0000-0100-000001000000}"/>
  <tableColumns count="4">
    <tableColumn id="1" xr3:uid="{87E42C1D-EAEB-4EF1-8BBA-25CDA43E5D79}" name="HOUSING" totalsRowLabel="Total" dataDxfId="787" totalsRowDxfId="786"/>
    <tableColumn id="2" xr3:uid="{A5B5A28C-528F-47BE-B31F-15D317A23E6C}" name="Projected Cost" totalsRowFunction="sum" dataDxfId="785" totalsRowDxfId="784"/>
    <tableColumn id="3" xr3:uid="{DAAD93CE-2231-4F91-9326-4AAEF2366E64}" name="Actual Cost" totalsRowFunction="sum" dataDxfId="783" totalsRowDxfId="782"/>
    <tableColumn id="4" xr3:uid="{6354B0AF-1638-4456-BE4E-163E5AE4BD9D}" name="Difference" totalsRowFunction="sum" dataDxfId="781" totalsRowDxfId="780">
      <calculatedColumnFormula>Table1134145156167178189[[#This Row],[Projected Cost]]-Table1134145156167178189[[#This Row],[Actual Cost]]</calculatedColumnFormula>
    </tableColumn>
  </tableColumns>
  <tableStyleInfo name="TableStyleMedium23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546F55B3-1129-49FF-B939-0B2550189D3A}" name="Table4135146157168179190" displayName="Table4135146157168179190" ref="B36:E41" totalsRowCount="1" headerRowDxfId="779" dataDxfId="778" totalsRowDxfId="776" tableBorderDxfId="777">
  <autoFilter ref="B36:E40" xr:uid="{00000000-0009-0000-0100-000004000000}"/>
  <tableColumns count="4">
    <tableColumn id="1" xr3:uid="{32DB10B2-9DB7-4DA9-858F-31B5E551690D}" name="INSURANCE" totalsRowLabel="Total" dataDxfId="775" totalsRowDxfId="774"/>
    <tableColumn id="2" xr3:uid="{CB6A790E-A82F-48FA-A545-13E3C1172B3A}" name="Projected Cost" totalsRowFunction="sum" dataDxfId="773" totalsRowDxfId="772"/>
    <tableColumn id="3" xr3:uid="{2EED1D2B-7AF4-4CD7-96E8-ED73B8A35655}" name="Actual Cost" totalsRowFunction="sum" dataDxfId="771" totalsRowDxfId="770"/>
    <tableColumn id="4" xr3:uid="{98A6CC1C-27EC-4765-9ABE-D0A4678C9753}" name="Difference" totalsRowFunction="sum" dataDxfId="769" totalsRowDxfId="768">
      <calculatedColumnFormula>Table4135146157168179190[[#This Row],[Projected Cost]]-Table4135146157168179190[[#This Row],[Actual Cost]]</calculatedColumnFormula>
    </tableColumn>
  </tableColumns>
  <tableStyleInfo name="TableStyleMedium23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2EE0714A-233C-4C82-AF63-34C15A03642E}" name="Table6136147158169180191" displayName="Table6136147158169180191" ref="B49:E55" totalsRowCount="1" headerRowDxfId="767" dataDxfId="766" totalsRowDxfId="764" tableBorderDxfId="765">
  <autoFilter ref="B49:E54" xr:uid="{00000000-0009-0000-0100-000006000000}"/>
  <tableColumns count="4">
    <tableColumn id="1" xr3:uid="{3AA630A2-7EE3-4507-A996-8C0C6099396C}" name="PETS" totalsRowLabel="Total" dataDxfId="763" totalsRowDxfId="762"/>
    <tableColumn id="2" xr3:uid="{A1B2C3A8-5644-4316-9499-34EF9DD410AB}" name="Projected Cost" totalsRowFunction="sum" dataDxfId="761" totalsRowDxfId="760"/>
    <tableColumn id="3" xr3:uid="{A1B58B2A-0E5D-4D7D-A2ED-B3F72D293173}" name="Actual Cost" totalsRowFunction="sum" dataDxfId="759" totalsRowDxfId="758"/>
    <tableColumn id="4" xr3:uid="{E5FD7974-A652-4F35-8026-B9305BE9A516}" name="Difference" totalsRowFunction="sum" dataDxfId="757" totalsRowDxfId="756">
      <calculatedColumnFormula>Table6136147158169180191[[#This Row],[Projected Cost]]-Table6136147158169180191[[#This Row],[Actual Cost]]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3" displayName="Table3" ref="B26:E34" totalsRowCount="1" headerRowDxfId="1511" dataDxfId="1510" totalsRowDxfId="1508" tableBorderDxfId="1509">
  <autoFilter ref="B26:E33" xr:uid="{00000000-0009-0000-0100-000003000000}"/>
  <tableColumns count="4">
    <tableColumn id="1" xr3:uid="{00000000-0010-0000-0600-000001000000}" name="TRANSPORTATION" totalsRowLabel="Total" dataDxfId="1507" totalsRowDxfId="1506"/>
    <tableColumn id="2" xr3:uid="{00000000-0010-0000-0600-000002000000}" name="Projected Cost" totalsRowFunction="sum" dataDxfId="1505" totalsRowDxfId="1504"/>
    <tableColumn id="3" xr3:uid="{00000000-0010-0000-0600-000003000000}" name="Actual Cost" totalsRowFunction="sum" dataDxfId="1503" totalsRowDxfId="1502"/>
    <tableColumn id="4" xr3:uid="{00000000-0010-0000-0600-000004000000}" name="Difference" totalsRowFunction="sum" dataDxfId="1501" totalsRowDxfId="1500">
      <calculatedColumnFormula>Table3[[#This Row],[Projected Cost]]-Table3[[#This Row],[Actual Cost]]</calculatedColumnFormula>
    </tableColumn>
  </tableColumns>
  <tableStyleInfo name="TableStyleMedium23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B55E370A-854B-4CC9-AC90-AC7815E3A392}" name="Table11137148159170181192" displayName="Table11137148159170181192" ref="G47:J51" totalsRowCount="1" headerRowDxfId="755" dataDxfId="754" totalsRowDxfId="752" tableBorderDxfId="753">
  <autoFilter ref="G47:J50" xr:uid="{00000000-0009-0000-0100-00000B000000}"/>
  <tableColumns count="4">
    <tableColumn id="1" xr3:uid="{4A5853D0-3808-4AA6-BE08-A63784FC8649}" name="GIFTS AND DONATIONS" totalsRowLabel="Total" dataDxfId="751" totalsRowDxfId="750"/>
    <tableColumn id="2" xr3:uid="{6FFB09AD-4C34-4309-8EF6-486240F8033B}" name="Projected Cost" totalsRowFunction="sum" dataDxfId="749" totalsRowDxfId="748"/>
    <tableColumn id="3" xr3:uid="{EB390340-2D8B-4CCA-8935-E93B8A62F893}" name="Actual Cost" totalsRowFunction="sum" dataDxfId="747" totalsRowDxfId="746"/>
    <tableColumn id="4" xr3:uid="{3AF1CD7D-49DD-4F15-9F37-70C1A3D389DD}" name="Difference" totalsRowFunction="sum" dataDxfId="745" totalsRowDxfId="744">
      <calculatedColumnFormula>Table11137148159170181192[[#This Row],[Projected Cost]]-Table11137148159170181192[[#This Row],[Actual Cost]]</calculatedColumnFormula>
    </tableColumn>
  </tableColumns>
  <tableStyleInfo name="TableStyleMedium23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54128F2A-FC86-40F7-8A46-014DA542861F}" name="Table5138149160171182193" displayName="Table5138149160171182193" ref="B43:E47" totalsRowCount="1" headerRowDxfId="743" dataDxfId="742" totalsRowDxfId="740" tableBorderDxfId="741">
  <autoFilter ref="B43:E46" xr:uid="{00000000-0009-0000-0100-000005000000}"/>
  <tableColumns count="4">
    <tableColumn id="1" xr3:uid="{24AF9870-2E4D-4F8C-BF0C-49EF4C1354CE}" name="FOOD" totalsRowLabel="Total" dataDxfId="739" totalsRowDxfId="738"/>
    <tableColumn id="2" xr3:uid="{4CE88A94-5954-4019-BFEB-12BABE0D772E}" name="Projected Cost" totalsRowFunction="sum" dataDxfId="737" totalsRowDxfId="736"/>
    <tableColumn id="3" xr3:uid="{93D4E6C2-66D2-4776-88A1-D5B553E226FA}" name="Actual Cost" totalsRowFunction="sum" dataDxfId="735" totalsRowDxfId="734"/>
    <tableColumn id="4" xr3:uid="{C4FCCDE0-7074-4931-BE9E-D36A8ABD07BE}" name="Difference" totalsRowFunction="sum" dataDxfId="733" totalsRowDxfId="732">
      <calculatedColumnFormula>Table5138149160171182193[[#This Row],[Projected Cost]]-Table5138149160171182193[[#This Row],[Actual Cost]]</calculatedColumnFormula>
    </tableColumn>
  </tableColumns>
  <tableStyleInfo name="TableStyleMedium23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749F7F3A-1F0D-49B1-A467-3918DE32EC09}" name="Table9139150161172183194" displayName="Table9139150161172183194" ref="G34:J39" totalsRowCount="1" headerRowDxfId="731" dataDxfId="730" totalsRowDxfId="728" tableBorderDxfId="729">
  <autoFilter ref="G34:J38" xr:uid="{00000000-0009-0000-0100-000009000000}"/>
  <tableColumns count="4">
    <tableColumn id="1" xr3:uid="{C00BA77B-6D0F-42FC-BF35-D553995BB0A1}" name="Other" totalsRowLabel="Total" dataDxfId="727" totalsRowDxfId="726"/>
    <tableColumn id="2" xr3:uid="{DEBC4695-70B7-4C8D-B68F-FF5BFBD204D1}" name="Projected Cost" totalsRowFunction="sum" dataDxfId="725" totalsRowDxfId="724"/>
    <tableColumn id="3" xr3:uid="{37757E49-28FD-44F2-A7A0-EC46515D4CBB}" name="Actual Cost" totalsRowFunction="sum" dataDxfId="723" totalsRowDxfId="722"/>
    <tableColumn id="4" xr3:uid="{64DF38FB-36EF-4FBB-BC6A-CD238B37A9BA}" name="Difference" totalsRowFunction="sum" dataDxfId="721" totalsRowDxfId="720">
      <calculatedColumnFormula>Table9139150161172183194[[#This Row],[Projected Cost]]-Table9139150161172183194[[#This Row],[Actual Cost]]</calculatedColumnFormula>
    </tableColumn>
  </tableColumns>
  <tableStyleInfo name="TableStyleMedium23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B8C9EF9A-474D-43E7-BC04-B1583AD2A870}" name="Table3140151162173184195" displayName="Table3140151162173184195" ref="B26:E34" totalsRowCount="1" headerRowDxfId="719" dataDxfId="718" totalsRowDxfId="716" tableBorderDxfId="717">
  <autoFilter ref="B26:E33" xr:uid="{00000000-0009-0000-0100-000003000000}"/>
  <tableColumns count="4">
    <tableColumn id="1" xr3:uid="{11FDF0A1-1754-49FB-9284-D31303BE903F}" name="TRANSPORTATION" totalsRowLabel="Total" dataDxfId="715" totalsRowDxfId="714"/>
    <tableColumn id="2" xr3:uid="{E0D0F7D6-9663-4B1C-BE4B-CCE5088B2EE5}" name="Projected Cost" totalsRowFunction="sum" dataDxfId="713" totalsRowDxfId="712"/>
    <tableColumn id="3" xr3:uid="{96006B84-EB9F-4168-B7BE-FDED83537E9F}" name="Actual Cost" totalsRowFunction="sum" dataDxfId="711" totalsRowDxfId="710"/>
    <tableColumn id="4" xr3:uid="{4EDA59DF-3E8E-4F7E-8E04-91B687FC157C}" name="Difference" totalsRowFunction="sum" dataDxfId="709" totalsRowDxfId="708">
      <calculatedColumnFormula>Table3140151162173184195[[#This Row],[Projected Cost]]-Table3140151162173184195[[#This Row],[Actual Cost]]</calculatedColumnFormula>
    </tableColumn>
  </tableColumns>
  <tableStyleInfo name="TableStyleMedium23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F0C22211-BE65-4F9E-9087-7F4B908EEC7E}" name="Table8141152163174185196" displayName="Table8141152163174185196" ref="G25:J32" totalsRowCount="1" headerRowDxfId="707" dataDxfId="706" totalsRowDxfId="704" tableBorderDxfId="705">
  <autoFilter ref="G25:J31" xr:uid="{00000000-0009-0000-0100-000008000000}"/>
  <tableColumns count="4">
    <tableColumn id="1" xr3:uid="{F4EF0226-8778-4E5E-9EEC-FEB9DBC5E924}" name="LOANS/DEBT" totalsRowLabel="Total" dataDxfId="703" totalsRowDxfId="702"/>
    <tableColumn id="2" xr3:uid="{F4EEC933-2F9A-4480-B5C8-837147AFB9F4}" name="Projected Cost" totalsRowFunction="sum" dataDxfId="701" totalsRowDxfId="700"/>
    <tableColumn id="3" xr3:uid="{530A0BB6-1D87-452D-9421-7DCCAC6B99E9}" name="Actual Cost" totalsRowFunction="sum" dataDxfId="699" totalsRowDxfId="698"/>
    <tableColumn id="4" xr3:uid="{C7492D49-D552-4ABE-A53F-5A84F06A7BD7}" name="Difference" totalsRowFunction="sum" dataDxfId="697" totalsRowDxfId="696">
      <calculatedColumnFormula>Table8141152163174185196[[#This Row],[Projected Cost]]-Table8141152163174185196[[#This Row],[Actual Cost]]</calculatedColumnFormula>
    </tableColumn>
  </tableColumns>
  <tableStyleInfo name="TableStyleMedium23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BF0A3A3B-8E63-4000-B387-FECB54BFFB5E}" name="Table10142153164175186197" displayName="Table10142153164175186197" ref="G41:J45" totalsRowCount="1" headerRowDxfId="695" dataDxfId="694" totalsRowDxfId="692" tableBorderDxfId="693">
  <autoFilter ref="G41:J44" xr:uid="{00000000-0009-0000-0100-00000A000000}"/>
  <tableColumns count="4">
    <tableColumn id="1" xr3:uid="{092487CF-C28F-4EB3-9FFF-0CF532C5F53E}" name="SAVINGS OR INVESTMENTS" totalsRowLabel="Total" dataDxfId="691" totalsRowDxfId="690"/>
    <tableColumn id="2" xr3:uid="{F7221D76-C021-4B10-9141-B1645D1A76DA}" name="Projected Cost" totalsRowFunction="sum" dataDxfId="689" totalsRowDxfId="688"/>
    <tableColumn id="3" xr3:uid="{B24B2F23-FB38-4CEA-BFCD-F7059A53E257}" name="Actual Cost" totalsRowFunction="sum" dataDxfId="687" totalsRowDxfId="686"/>
    <tableColumn id="4" xr3:uid="{3ABC3E4B-ECF6-449D-AF9B-BB6FEAEF8BEF}" name="Difference" totalsRowFunction="sum" dataDxfId="685" totalsRowDxfId="684">
      <calculatedColumnFormula>Table10142153164175186197[[#This Row],[Projected Cost]]-Table10142153164175186197[[#This Row],[Actual Cost]]</calculatedColumnFormula>
    </tableColumn>
  </tableColumns>
  <tableStyleInfo name="TableStyleMedium23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414F6749-2680-418D-B61B-F7601C7E31B2}" name="Table7143154165176187198" displayName="Table7143154165176187198" ref="B57:E65" totalsRowCount="1" headerRowDxfId="683" dataDxfId="682" totalsRowDxfId="680" tableBorderDxfId="681">
  <autoFilter ref="B57:E64" xr:uid="{00000000-0009-0000-0100-000007000000}"/>
  <tableColumns count="4">
    <tableColumn id="1" xr3:uid="{64760A51-CE14-45CF-AB4E-347A4E8240D3}" name="PERSONAL CARE" totalsRowLabel="Total" dataDxfId="679" totalsRowDxfId="678"/>
    <tableColumn id="2" xr3:uid="{CCE6CC30-1C37-4B2F-B69E-F0ECD64A4992}" name="Projected Cost" totalsRowFunction="sum" dataDxfId="677" totalsRowDxfId="676"/>
    <tableColumn id="3" xr3:uid="{AAF27457-DD59-485C-BA61-8CE260D2C49C}" name="Actual Cost" totalsRowFunction="sum" dataDxfId="675" totalsRowDxfId="674"/>
    <tableColumn id="4" xr3:uid="{97C423FE-A086-404D-9AFC-7DB07E2B4EF3}" name="Difference" totalsRowFunction="sum" dataDxfId="673" totalsRowDxfId="672">
      <calculatedColumnFormula>Table7143154165176187198[[#This Row],[Projected Cost]]-Table7143154165176187198[[#This Row],[Actual Cost]]</calculatedColumnFormula>
    </tableColumn>
  </tableColumns>
  <tableStyleInfo name="TableStyleMedium23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4BC60779-A32D-40B1-A4FF-33FD46439B85}" name="Table2144155166177188199" displayName="Table2144155166177188199" ref="G13:J23" totalsRowCount="1" headerRowDxfId="671" dataDxfId="670" totalsRowDxfId="668" tableBorderDxfId="669">
  <autoFilter ref="G13:J22" xr:uid="{00000000-0009-0000-0100-000002000000}"/>
  <tableColumns count="4">
    <tableColumn id="1" xr3:uid="{39FE0C25-9847-42B2-9EE5-E389F37FCC8E}" name="ENTERTAINMENT" totalsRowLabel="Total" dataDxfId="667" totalsRowDxfId="666"/>
    <tableColumn id="2" xr3:uid="{DB7767C5-E984-418F-A33E-10F6CCFFEE34}" name="Projected Cost" totalsRowFunction="sum" dataDxfId="665" totalsRowDxfId="664"/>
    <tableColumn id="3" xr3:uid="{41F7F7D5-857F-4EAE-B125-81EAFDE5D977}" name="Actual Cost" totalsRowFunction="sum" dataDxfId="663" totalsRowDxfId="662"/>
    <tableColumn id="4" xr3:uid="{F82C6F13-CA63-4A32-BCE7-1BFCF290FDAA}" name="Difference" totalsRowFunction="sum" dataDxfId="661" totalsRowDxfId="660">
      <calculatedColumnFormula>Table2144155166177188199[[#This Row],[Projected Cost]]-Table2144155166177188199[[#This Row],[Actual Cost]]</calculatedColumnFormula>
    </tableColumn>
  </tableColumns>
  <tableStyleInfo name="TableStyleMedium23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C3FBFD29-69FE-42CC-A55B-1891F69E8638}" name="Table1134145156167178200211" displayName="Table1134145156167178200211" ref="B13:E24" totalsRowCount="1" headerRowDxfId="659" dataDxfId="658" totalsRowDxfId="656" tableBorderDxfId="657">
  <autoFilter ref="B13:E23" xr:uid="{00000000-0009-0000-0100-000001000000}"/>
  <tableColumns count="4">
    <tableColumn id="1" xr3:uid="{9FA87A9F-C57B-4D07-891C-6EB237D25C2A}" name="HOUSING" totalsRowLabel="Total" dataDxfId="655" totalsRowDxfId="654"/>
    <tableColumn id="2" xr3:uid="{90F36BA3-2C8A-4770-A937-8B2827ADDBBD}" name="Projected Cost" totalsRowFunction="sum" dataDxfId="653" totalsRowDxfId="652"/>
    <tableColumn id="3" xr3:uid="{2A98B6DD-5FD3-4AC6-9F3C-DC836A70EE23}" name="Actual Cost" totalsRowFunction="sum" dataDxfId="651" totalsRowDxfId="650"/>
    <tableColumn id="4" xr3:uid="{F255D06A-2A89-44DC-B53E-40B134831AF5}" name="Difference" totalsRowFunction="sum" dataDxfId="649" totalsRowDxfId="648">
      <calculatedColumnFormula>Table1134145156167178200211[[#This Row],[Projected Cost]]-Table1134145156167178200211[[#This Row],[Actual Cost]]</calculatedColumnFormula>
    </tableColumn>
  </tableColumns>
  <tableStyleInfo name="TableStyleMedium23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2F48F232-B705-448C-894E-62C9FE24E7F9}" name="Table4135146157168179201212" displayName="Table4135146157168179201212" ref="B36:E41" totalsRowCount="1" headerRowDxfId="647" dataDxfId="646" totalsRowDxfId="644" tableBorderDxfId="645">
  <autoFilter ref="B36:E40" xr:uid="{00000000-0009-0000-0100-000004000000}"/>
  <tableColumns count="4">
    <tableColumn id="1" xr3:uid="{79543291-B4FD-47DE-B3D9-D99D0E125759}" name="INSURANCE" totalsRowLabel="Total" dataDxfId="643" totalsRowDxfId="642"/>
    <tableColumn id="2" xr3:uid="{54B9DB85-A4EE-4FCB-83AE-5FF5C4F3FF7B}" name="Projected Cost" totalsRowFunction="sum" dataDxfId="641" totalsRowDxfId="640"/>
    <tableColumn id="3" xr3:uid="{7E1AE4FC-4713-468C-B439-0B29BD5861F3}" name="Actual Cost" totalsRowFunction="sum" dataDxfId="639" totalsRowDxfId="638"/>
    <tableColumn id="4" xr3:uid="{48E45A7D-6FFE-4E72-A1FA-590655DD0FFC}" name="Difference" totalsRowFunction="sum" dataDxfId="637" totalsRowDxfId="636">
      <calculatedColumnFormula>Table4135146157168179201212[[#This Row],[Projected Cost]]-Table4135146157168179201212[[#This Row],[Actual Cost]]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G25:J32" totalsRowCount="1" headerRowDxfId="1499" dataDxfId="1498" totalsRowDxfId="1496" tableBorderDxfId="1497">
  <autoFilter ref="G25:J31" xr:uid="{00000000-0009-0000-0100-000008000000}"/>
  <tableColumns count="4">
    <tableColumn id="1" xr3:uid="{00000000-0010-0000-0700-000001000000}" name="LOANS/DEBT" totalsRowLabel="Total" dataDxfId="1495" totalsRowDxfId="1494"/>
    <tableColumn id="2" xr3:uid="{00000000-0010-0000-0700-000002000000}" name="Projected Cost" totalsRowFunction="sum" dataDxfId="1493" totalsRowDxfId="1492"/>
    <tableColumn id="3" xr3:uid="{00000000-0010-0000-0700-000003000000}" name="Actual Cost" totalsRowFunction="sum" dataDxfId="1491" totalsRowDxfId="1490"/>
    <tableColumn id="4" xr3:uid="{00000000-0010-0000-0700-000004000000}" name="Difference" totalsRowFunction="sum" dataDxfId="1489" totalsRowDxfId="1488">
      <calculatedColumnFormula>Table8[[#This Row],[Projected Cost]]-Table8[[#This Row],[Actual Cost]]</calculatedColumnFormula>
    </tableColumn>
  </tableColumns>
  <tableStyleInfo name="TableStyleMedium23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A605FEC0-D892-4CAA-9308-AB22AB203BFE}" name="Table6136147158169180202213" displayName="Table6136147158169180202213" ref="B49:E55" totalsRowCount="1" headerRowDxfId="635" dataDxfId="634" totalsRowDxfId="632" tableBorderDxfId="633">
  <autoFilter ref="B49:E54" xr:uid="{00000000-0009-0000-0100-000006000000}"/>
  <tableColumns count="4">
    <tableColumn id="1" xr3:uid="{4067708C-11B7-4D23-A405-8157AAD0075D}" name="PETS" totalsRowLabel="Total" dataDxfId="631" totalsRowDxfId="630"/>
    <tableColumn id="2" xr3:uid="{A20060FD-E571-43A4-8146-EEB217F1BD3C}" name="Projected Cost" totalsRowFunction="sum" dataDxfId="629" totalsRowDxfId="628"/>
    <tableColumn id="3" xr3:uid="{D99BA21C-7799-4E2D-8F2C-3D417479AFD7}" name="Actual Cost" totalsRowFunction="sum" dataDxfId="627" totalsRowDxfId="626"/>
    <tableColumn id="4" xr3:uid="{8974CD65-1001-445D-90B8-0A95CC88525C}" name="Difference" totalsRowFunction="sum" dataDxfId="625" totalsRowDxfId="624">
      <calculatedColumnFormula>Table6136147158169180202213[[#This Row],[Projected Cost]]-Table6136147158169180202213[[#This Row],[Actual Cost]]</calculatedColumnFormula>
    </tableColumn>
  </tableColumns>
  <tableStyleInfo name="TableStyleMedium23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CE97F746-A4BB-41CD-9123-DB6AED9B1FC2}" name="Table11137148159170181203214" displayName="Table11137148159170181203214" ref="G47:J51" totalsRowCount="1" headerRowDxfId="623" dataDxfId="622" totalsRowDxfId="620" tableBorderDxfId="621">
  <autoFilter ref="G47:J50" xr:uid="{00000000-0009-0000-0100-00000B000000}"/>
  <tableColumns count="4">
    <tableColumn id="1" xr3:uid="{663B7A6A-E92A-4036-975A-87F77D5DEA93}" name="GIFTS AND DONATIONS" totalsRowLabel="Total" dataDxfId="619" totalsRowDxfId="618"/>
    <tableColumn id="2" xr3:uid="{FDA57AF7-13C0-40C8-9E46-40ED0DD7CEAB}" name="Projected Cost" totalsRowFunction="sum" dataDxfId="617" totalsRowDxfId="616"/>
    <tableColumn id="3" xr3:uid="{161114FA-4616-405C-81B2-B1E6252D86F7}" name="Actual Cost" totalsRowFunction="sum" dataDxfId="615" totalsRowDxfId="614"/>
    <tableColumn id="4" xr3:uid="{BFD5A19C-0831-42E8-BFEA-F5CE7EB036AF}" name="Difference" totalsRowFunction="sum" dataDxfId="613" totalsRowDxfId="612">
      <calculatedColumnFormula>Table11137148159170181203214[[#This Row],[Projected Cost]]-Table11137148159170181203214[[#This Row],[Actual Cost]]</calculatedColumnFormula>
    </tableColumn>
  </tableColumns>
  <tableStyleInfo name="TableStyleMedium23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B450C12C-64BB-4CAB-B3A9-9A4292BF5B65}" name="Table5138149160171182204215" displayName="Table5138149160171182204215" ref="B43:E47" totalsRowCount="1" headerRowDxfId="611" dataDxfId="610" totalsRowDxfId="608" tableBorderDxfId="609">
  <autoFilter ref="B43:E46" xr:uid="{00000000-0009-0000-0100-000005000000}"/>
  <tableColumns count="4">
    <tableColumn id="1" xr3:uid="{F23CD09D-2981-4AF8-91F2-E6986BB70BBE}" name="FOOD" totalsRowLabel="Total" dataDxfId="607" totalsRowDxfId="606"/>
    <tableColumn id="2" xr3:uid="{DAAAABDE-3DB1-427F-88F4-08A40DEB48F7}" name="Projected Cost" totalsRowFunction="sum" dataDxfId="605" totalsRowDxfId="604"/>
    <tableColumn id="3" xr3:uid="{9CC1CE2E-AC99-47D5-BA8F-BFCF2AD589DC}" name="Actual Cost" totalsRowFunction="sum" dataDxfId="603" totalsRowDxfId="602"/>
    <tableColumn id="4" xr3:uid="{DD6A458A-C7B8-4AF6-8C97-0E75952C27D7}" name="Difference" totalsRowFunction="sum" dataDxfId="601" totalsRowDxfId="600">
      <calculatedColumnFormula>Table5138149160171182204215[[#This Row],[Projected Cost]]-Table5138149160171182204215[[#This Row],[Actual Cost]]</calculatedColumnFormula>
    </tableColumn>
  </tableColumns>
  <tableStyleInfo name="TableStyleMedium23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C3E5B1F1-1D93-455D-9089-47744A9BF48A}" name="Table9139150161172183205216" displayName="Table9139150161172183205216" ref="G34:J39" totalsRowCount="1" headerRowDxfId="599" dataDxfId="598" totalsRowDxfId="596" tableBorderDxfId="597">
  <autoFilter ref="G34:J38" xr:uid="{00000000-0009-0000-0100-000009000000}"/>
  <tableColumns count="4">
    <tableColumn id="1" xr3:uid="{C077EED7-06DC-4372-A449-42E72442B34F}" name="Other" totalsRowLabel="Total" dataDxfId="595" totalsRowDxfId="594"/>
    <tableColumn id="2" xr3:uid="{17AFFE08-C55F-41FF-8528-42ADAD3FF9AB}" name="Projected Cost" totalsRowFunction="sum" dataDxfId="593" totalsRowDxfId="592"/>
    <tableColumn id="3" xr3:uid="{CEBF10A1-B872-49FF-A928-8D24F568CC2C}" name="Actual Cost" totalsRowFunction="sum" dataDxfId="591" totalsRowDxfId="590"/>
    <tableColumn id="4" xr3:uid="{F23E6D0B-FE2F-4703-A938-3B7B25DA0A59}" name="Difference" totalsRowFunction="sum" dataDxfId="589" totalsRowDxfId="588">
      <calculatedColumnFormula>Table9139150161172183205216[[#This Row],[Projected Cost]]-Table9139150161172183205216[[#This Row],[Actual Cost]]</calculatedColumnFormula>
    </tableColumn>
  </tableColumns>
  <tableStyleInfo name="TableStyleMedium23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9CC52F1A-5CED-4218-BBB3-A2C6D283CA84}" name="Table3140151162173184206217" displayName="Table3140151162173184206217" ref="B26:E34" totalsRowCount="1" headerRowDxfId="587" dataDxfId="586" totalsRowDxfId="584" tableBorderDxfId="585">
  <autoFilter ref="B26:E33" xr:uid="{00000000-0009-0000-0100-000003000000}"/>
  <tableColumns count="4">
    <tableColumn id="1" xr3:uid="{5159A621-DA12-4E8C-8AC3-1C03DF76C24B}" name="TRANSPORTATION" totalsRowLabel="Total" dataDxfId="583" totalsRowDxfId="582"/>
    <tableColumn id="2" xr3:uid="{D4B02DA2-3989-448E-BBD3-5ED9A853BE5D}" name="Projected Cost" totalsRowFunction="sum" dataDxfId="581" totalsRowDxfId="580"/>
    <tableColumn id="3" xr3:uid="{7C9B2F11-B811-4699-9DEA-9A032755F28E}" name="Actual Cost" totalsRowFunction="sum" dataDxfId="579" totalsRowDxfId="578"/>
    <tableColumn id="4" xr3:uid="{A09CDDB2-EBE8-49C4-93AC-10191F3A5D68}" name="Difference" totalsRowFunction="sum" dataDxfId="577" totalsRowDxfId="576">
      <calculatedColumnFormula>Table3140151162173184206217[[#This Row],[Projected Cost]]-Table3140151162173184206217[[#This Row],[Actual Cost]]</calculatedColumnFormula>
    </tableColumn>
  </tableColumns>
  <tableStyleInfo name="TableStyleMedium23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99D52D96-D2D5-432E-A390-19AF62243CDD}" name="Table8141152163174185207218" displayName="Table8141152163174185207218" ref="G25:J32" totalsRowCount="1" headerRowDxfId="575" dataDxfId="574" totalsRowDxfId="572" tableBorderDxfId="573">
  <autoFilter ref="G25:J31" xr:uid="{00000000-0009-0000-0100-000008000000}"/>
  <tableColumns count="4">
    <tableColumn id="1" xr3:uid="{A18B1767-552F-423E-80EA-8EABAB66DF91}" name="LOANS/DEBT" totalsRowLabel="Total" dataDxfId="571" totalsRowDxfId="570"/>
    <tableColumn id="2" xr3:uid="{9B8CCA84-9ED9-4E56-B749-F56C91E285AF}" name="Projected Cost" totalsRowFunction="sum" dataDxfId="569" totalsRowDxfId="568"/>
    <tableColumn id="3" xr3:uid="{69727744-BF83-426B-8BD3-68B3D52CC574}" name="Actual Cost" totalsRowFunction="sum" dataDxfId="567" totalsRowDxfId="566"/>
    <tableColumn id="4" xr3:uid="{CC916B82-84D6-4721-BA73-7325AEA34953}" name="Difference" totalsRowFunction="sum" dataDxfId="565" totalsRowDxfId="564">
      <calculatedColumnFormula>Table8141152163174185207218[[#This Row],[Projected Cost]]-Table8141152163174185207218[[#This Row],[Actual Cost]]</calculatedColumnFormula>
    </tableColumn>
  </tableColumns>
  <tableStyleInfo name="TableStyleMedium23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B0D39666-9EDF-4FA9-BA63-757E1F53479E}" name="Table10142153164175186208219" displayName="Table10142153164175186208219" ref="G41:J45" totalsRowCount="1" headerRowDxfId="563" dataDxfId="562" totalsRowDxfId="560" tableBorderDxfId="561">
  <autoFilter ref="G41:J44" xr:uid="{00000000-0009-0000-0100-00000A000000}"/>
  <tableColumns count="4">
    <tableColumn id="1" xr3:uid="{597A1F3E-FF51-46C6-8EB6-A13943FB1397}" name="SAVINGS OR INVESTMENTS" totalsRowLabel="Total" dataDxfId="559" totalsRowDxfId="558"/>
    <tableColumn id="2" xr3:uid="{D180683F-8ECE-4041-8E1A-8E3EBE4B2269}" name="Projected Cost" totalsRowFunction="sum" dataDxfId="557" totalsRowDxfId="556"/>
    <tableColumn id="3" xr3:uid="{56901FC4-597B-444F-BF00-5E96D9EDB3BA}" name="Actual Cost" totalsRowFunction="sum" dataDxfId="555" totalsRowDxfId="554"/>
    <tableColumn id="4" xr3:uid="{D37A7902-07D3-4539-8E3A-518D1F8FEE59}" name="Difference" totalsRowFunction="sum" dataDxfId="553" totalsRowDxfId="552">
      <calculatedColumnFormula>Table10142153164175186208219[[#This Row],[Projected Cost]]-Table10142153164175186208219[[#This Row],[Actual Cost]]</calculatedColumnFormula>
    </tableColumn>
  </tableColumns>
  <tableStyleInfo name="TableStyleMedium23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DCDCAFF0-4916-4D3B-96B5-E3E546A7059F}" name="Table7143154165176187209220" displayName="Table7143154165176187209220" ref="B57:E65" totalsRowCount="1" headerRowDxfId="551" dataDxfId="550" totalsRowDxfId="548" tableBorderDxfId="549">
  <autoFilter ref="B57:E64" xr:uid="{00000000-0009-0000-0100-000007000000}"/>
  <tableColumns count="4">
    <tableColumn id="1" xr3:uid="{90A18B0B-C541-42B5-9AA6-A832CC9212D9}" name="PERSONAL CARE" totalsRowLabel="Total" dataDxfId="547" totalsRowDxfId="546"/>
    <tableColumn id="2" xr3:uid="{1BF3F487-E583-49AB-A41F-C46CC486BF5D}" name="Projected Cost" totalsRowFunction="sum" dataDxfId="545" totalsRowDxfId="544"/>
    <tableColumn id="3" xr3:uid="{44731521-D56B-4FB1-8B07-6DE9CEB2537F}" name="Actual Cost" totalsRowFunction="sum" dataDxfId="543" totalsRowDxfId="542"/>
    <tableColumn id="4" xr3:uid="{606C6B00-4A02-4160-8326-E83B39B96A92}" name="Difference" totalsRowFunction="sum" dataDxfId="541" totalsRowDxfId="540">
      <calculatedColumnFormula>Table7143154165176187209220[[#This Row],[Projected Cost]]-Table7143154165176187209220[[#This Row],[Actual Cost]]</calculatedColumnFormula>
    </tableColumn>
  </tableColumns>
  <tableStyleInfo name="TableStyleMedium23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9BD4A1E4-A139-4DFC-A1AB-D128F1C25A95}" name="Table2144155166177188210221" displayName="Table2144155166177188210221" ref="G13:J23" totalsRowCount="1" headerRowDxfId="539" dataDxfId="538" totalsRowDxfId="536" tableBorderDxfId="537">
  <autoFilter ref="G13:J22" xr:uid="{00000000-0009-0000-0100-000002000000}"/>
  <tableColumns count="4">
    <tableColumn id="1" xr3:uid="{06840323-8EA9-4FCD-80FE-B5F726E868DB}" name="ENTERTAINMENT" totalsRowLabel="Total" dataDxfId="535" totalsRowDxfId="534"/>
    <tableColumn id="2" xr3:uid="{E0DE6DE0-AD28-4336-A87B-A203932499CF}" name="Projected Cost" totalsRowFunction="sum" dataDxfId="533" totalsRowDxfId="532"/>
    <tableColumn id="3" xr3:uid="{DF88D3CD-87DA-4D7F-9CC5-799F79D6F2D2}" name="Actual Cost" totalsRowFunction="sum" dataDxfId="531" totalsRowDxfId="530"/>
    <tableColumn id="4" xr3:uid="{61149CE4-F11B-4C77-8654-02B3BCFBF9A1}" name="Difference" totalsRowFunction="sum" dataDxfId="529" totalsRowDxfId="528">
      <calculatedColumnFormula>Table2144155166177188210221[[#This Row],[Projected Cost]]-Table2144155166177188210221[[#This Row],[Actual Cost]]</calculatedColumnFormula>
    </tableColumn>
  </tableColumns>
  <tableStyleInfo name="TableStyleMedium23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392A619A-F4EC-4D23-B3D0-DA77959E6F1E}" name="Table1134145156167178200" displayName="Table1134145156167178200" ref="B13:E24" totalsRowCount="1" headerRowDxfId="527" dataDxfId="526" totalsRowDxfId="524" tableBorderDxfId="525">
  <autoFilter ref="B13:E23" xr:uid="{00000000-0009-0000-0100-000001000000}"/>
  <tableColumns count="4">
    <tableColumn id="1" xr3:uid="{8C822B87-1D39-4774-BD2A-3C1BC9E5DB72}" name="HOUSING" totalsRowLabel="Total" dataDxfId="523" totalsRowDxfId="522"/>
    <tableColumn id="2" xr3:uid="{73751C4D-0817-4101-AA67-BFA0E0B81AEA}" name="Projected Cost" totalsRowFunction="sum" dataDxfId="521" totalsRowDxfId="520"/>
    <tableColumn id="3" xr3:uid="{FA9C5545-E6DB-42F3-A160-361BC267E787}" name="Actual Cost" totalsRowFunction="sum" dataDxfId="519" totalsRowDxfId="518"/>
    <tableColumn id="4" xr3:uid="{E5AFAAEA-5853-444A-8895-523E55F0765E}" name="Difference" totalsRowFunction="sum" dataDxfId="517" totalsRowDxfId="516">
      <calculatedColumnFormula>Table1134145156167178200[[#This Row],[Projected Cost]]-Table1134145156167178200[[#This Row],[Actual Cost]]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G41:J45" totalsRowCount="1" headerRowDxfId="1487" dataDxfId="1486" totalsRowDxfId="1484" tableBorderDxfId="1485">
  <autoFilter ref="G41:J44" xr:uid="{00000000-0009-0000-0100-00000A000000}"/>
  <tableColumns count="4">
    <tableColumn id="1" xr3:uid="{00000000-0010-0000-0800-000001000000}" name="SAVINGS OR INVESTMENTS" totalsRowLabel="Total" dataDxfId="1483" totalsRowDxfId="1482"/>
    <tableColumn id="2" xr3:uid="{00000000-0010-0000-0800-000002000000}" name="Projected Cost" totalsRowFunction="sum" dataDxfId="1481" totalsRowDxfId="1480"/>
    <tableColumn id="3" xr3:uid="{00000000-0010-0000-0800-000003000000}" name="Actual Cost" totalsRowFunction="sum" dataDxfId="1479" totalsRowDxfId="1478"/>
    <tableColumn id="4" xr3:uid="{00000000-0010-0000-0800-000004000000}" name="Difference" totalsRowFunction="sum" dataDxfId="1477" totalsRowDxfId="1476">
      <calculatedColumnFormula>Table10[[#This Row],[Projected Cost]]-Table10[[#This Row],[Actual Cost]]</calculatedColumnFormula>
    </tableColumn>
  </tableColumns>
  <tableStyleInfo name="TableStyleMedium23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B874AEEA-EE7F-40D4-AAA7-649CF4575140}" name="Table4135146157168179201" displayName="Table4135146157168179201" ref="B36:E41" totalsRowCount="1" headerRowDxfId="515" dataDxfId="514" totalsRowDxfId="512" tableBorderDxfId="513">
  <autoFilter ref="B36:E40" xr:uid="{00000000-0009-0000-0100-000004000000}"/>
  <tableColumns count="4">
    <tableColumn id="1" xr3:uid="{C43E6D43-5673-4EE6-9EC5-C506121F33A3}" name="INSURANCE" totalsRowLabel="Total" dataDxfId="511" totalsRowDxfId="510"/>
    <tableColumn id="2" xr3:uid="{5A661CC9-7E3E-42BC-9F51-CF00C0F91BAE}" name="Projected Cost" totalsRowFunction="sum" dataDxfId="509" totalsRowDxfId="508"/>
    <tableColumn id="3" xr3:uid="{7D1D513D-5232-494D-888D-3B2F9EFDA3D5}" name="Actual Cost" totalsRowFunction="sum" dataDxfId="507" totalsRowDxfId="506"/>
    <tableColumn id="4" xr3:uid="{70D00086-B368-46A8-A1E8-8EE627CC054C}" name="Difference" totalsRowFunction="sum" dataDxfId="505" totalsRowDxfId="504">
      <calculatedColumnFormula>Table4135146157168179201[[#This Row],[Projected Cost]]-Table4135146157168179201[[#This Row],[Actual Cost]]</calculatedColumnFormula>
    </tableColumn>
  </tableColumns>
  <tableStyleInfo name="TableStyleMedium23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0AD54563-1888-4121-8060-DEB68052CA21}" name="Table6136147158169180202" displayName="Table6136147158169180202" ref="B49:E55" totalsRowCount="1" headerRowDxfId="503" dataDxfId="502" totalsRowDxfId="500" tableBorderDxfId="501">
  <autoFilter ref="B49:E54" xr:uid="{00000000-0009-0000-0100-000006000000}"/>
  <tableColumns count="4">
    <tableColumn id="1" xr3:uid="{8F55EA11-AFBD-41C1-AA79-8334BE2E9F9D}" name="PETS" totalsRowLabel="Total" dataDxfId="499" totalsRowDxfId="498"/>
    <tableColumn id="2" xr3:uid="{60DFC18A-4682-4302-B72D-38E4C3BE0C0C}" name="Projected Cost" totalsRowFunction="sum" dataDxfId="497" totalsRowDxfId="496"/>
    <tableColumn id="3" xr3:uid="{007C9B73-C335-4C0B-BB82-1B075411A63D}" name="Actual Cost" totalsRowFunction="sum" dataDxfId="495" totalsRowDxfId="494"/>
    <tableColumn id="4" xr3:uid="{2906E9A9-A6F7-4595-895E-1E3F1CC05B34}" name="Difference" totalsRowFunction="sum" dataDxfId="493" totalsRowDxfId="492">
      <calculatedColumnFormula>Table6136147158169180202[[#This Row],[Projected Cost]]-Table6136147158169180202[[#This Row],[Actual Cost]]</calculatedColumnFormula>
    </tableColumn>
  </tableColumns>
  <tableStyleInfo name="TableStyleMedium23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EA18FFEC-A8FE-416E-96A1-EC8DA117D062}" name="Table11137148159170181203" displayName="Table11137148159170181203" ref="G47:J51" totalsRowCount="1" headerRowDxfId="491" dataDxfId="490" totalsRowDxfId="488" tableBorderDxfId="489">
  <autoFilter ref="G47:J50" xr:uid="{00000000-0009-0000-0100-00000B000000}"/>
  <tableColumns count="4">
    <tableColumn id="1" xr3:uid="{F8C2441B-3681-4240-9392-09E6DCC70E6B}" name="GIFTS AND DONATIONS" totalsRowLabel="Total" dataDxfId="487" totalsRowDxfId="486"/>
    <tableColumn id="2" xr3:uid="{E02F2634-F3DE-4508-95E9-BBFB1CAB54A6}" name="Projected Cost" totalsRowFunction="sum" dataDxfId="485" totalsRowDxfId="484"/>
    <tableColumn id="3" xr3:uid="{82B7E1A2-8DBB-4021-B3CA-9C59BD26727E}" name="Actual Cost" totalsRowFunction="sum" dataDxfId="483" totalsRowDxfId="482"/>
    <tableColumn id="4" xr3:uid="{EB3515B2-88D1-4CA3-A78C-0A7626707C35}" name="Difference" totalsRowFunction="sum" dataDxfId="481" totalsRowDxfId="480">
      <calculatedColumnFormula>Table11137148159170181203[[#This Row],[Projected Cost]]-Table11137148159170181203[[#This Row],[Actual Cost]]</calculatedColumnFormula>
    </tableColumn>
  </tableColumns>
  <tableStyleInfo name="TableStyleMedium23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D0E12D7B-FCCB-402D-AD97-DEE6E5E097C7}" name="Table5138149160171182204" displayName="Table5138149160171182204" ref="B43:E47" totalsRowCount="1" headerRowDxfId="479" dataDxfId="478" totalsRowDxfId="476" tableBorderDxfId="477">
  <autoFilter ref="B43:E46" xr:uid="{00000000-0009-0000-0100-000005000000}"/>
  <tableColumns count="4">
    <tableColumn id="1" xr3:uid="{600C7B99-7A2E-4FB5-9348-C25DABFBF0AB}" name="FOOD" totalsRowLabel="Total" dataDxfId="475" totalsRowDxfId="474"/>
    <tableColumn id="2" xr3:uid="{15803C66-C9DE-4410-B260-A10D428EE612}" name="Projected Cost" totalsRowFunction="sum" dataDxfId="473" totalsRowDxfId="472"/>
    <tableColumn id="3" xr3:uid="{F7404F88-9CFD-4BB9-8339-5F7DB2AE712F}" name="Actual Cost" totalsRowFunction="sum" dataDxfId="471" totalsRowDxfId="470"/>
    <tableColumn id="4" xr3:uid="{E0BDD4DA-8AD8-4CDC-B90A-D8338838B1ED}" name="Difference" totalsRowFunction="sum" dataDxfId="469" totalsRowDxfId="468">
      <calculatedColumnFormula>Table5138149160171182204[[#This Row],[Projected Cost]]-Table5138149160171182204[[#This Row],[Actual Cost]]</calculatedColumnFormula>
    </tableColumn>
  </tableColumns>
  <tableStyleInfo name="TableStyleMedium23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FD19AB49-A840-4641-902F-ABC758570CDB}" name="Table9139150161172183205" displayName="Table9139150161172183205" ref="G34:J39" totalsRowCount="1" headerRowDxfId="467" dataDxfId="466" totalsRowDxfId="464" tableBorderDxfId="465">
  <autoFilter ref="G34:J38" xr:uid="{00000000-0009-0000-0100-000009000000}"/>
  <tableColumns count="4">
    <tableColumn id="1" xr3:uid="{5E0ECE1F-4123-45B8-AD2D-0D61EC7607B4}" name="Other" totalsRowLabel="Total" dataDxfId="463" totalsRowDxfId="462"/>
    <tableColumn id="2" xr3:uid="{BDD08404-8D0D-48B1-B8D0-2632F216A3E4}" name="Projected Cost" totalsRowFunction="sum" dataDxfId="461" totalsRowDxfId="460"/>
    <tableColumn id="3" xr3:uid="{78CEBD6C-B1DC-4B65-BD37-D98281EE3D9A}" name="Actual Cost" totalsRowFunction="sum" dataDxfId="459" totalsRowDxfId="458"/>
    <tableColumn id="4" xr3:uid="{2D2E07ED-E940-492D-922F-75A2AF2F93D6}" name="Difference" totalsRowFunction="sum" dataDxfId="457" totalsRowDxfId="456">
      <calculatedColumnFormula>Table9139150161172183205[[#This Row],[Projected Cost]]-Table9139150161172183205[[#This Row],[Actual Cost]]</calculatedColumnFormula>
    </tableColumn>
  </tableColumns>
  <tableStyleInfo name="TableStyleMedium23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2AD0517B-362B-466E-AE35-31EA5C012FD0}" name="Table3140151162173184206" displayName="Table3140151162173184206" ref="B26:E34" totalsRowCount="1" headerRowDxfId="455" dataDxfId="454" totalsRowDxfId="452" tableBorderDxfId="453">
  <autoFilter ref="B26:E33" xr:uid="{00000000-0009-0000-0100-000003000000}"/>
  <tableColumns count="4">
    <tableColumn id="1" xr3:uid="{0D393562-0D59-4E3A-81E3-3CA2346585D2}" name="TRANSPORTATION" totalsRowLabel="Total" dataDxfId="451" totalsRowDxfId="450"/>
    <tableColumn id="2" xr3:uid="{4612A038-9377-4E61-ACE0-3D807DB872E2}" name="Projected Cost" totalsRowFunction="sum" dataDxfId="449" totalsRowDxfId="448"/>
    <tableColumn id="3" xr3:uid="{82E19468-1E65-41F8-A9D4-4CC23BF747EA}" name="Actual Cost" totalsRowFunction="sum" dataDxfId="447" totalsRowDxfId="446"/>
    <tableColumn id="4" xr3:uid="{F1E58DF6-145C-48BB-AD2B-BB307E281B66}" name="Difference" totalsRowFunction="sum" dataDxfId="445" totalsRowDxfId="444">
      <calculatedColumnFormula>Table3140151162173184206[[#This Row],[Projected Cost]]-Table3140151162173184206[[#This Row],[Actual Cost]]</calculatedColumnFormula>
    </tableColumn>
  </tableColumns>
  <tableStyleInfo name="TableStyleMedium23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F70137B6-389D-4C0C-AF69-6125739B6F21}" name="Table8141152163174185207" displayName="Table8141152163174185207" ref="G25:J32" totalsRowCount="1" headerRowDxfId="443" dataDxfId="442" totalsRowDxfId="440" tableBorderDxfId="441">
  <autoFilter ref="G25:J31" xr:uid="{00000000-0009-0000-0100-000008000000}"/>
  <tableColumns count="4">
    <tableColumn id="1" xr3:uid="{565DCA04-04FA-416D-AA49-4CF5313C597A}" name="LOANS/DEBT" totalsRowLabel="Total" dataDxfId="439" totalsRowDxfId="438"/>
    <tableColumn id="2" xr3:uid="{69993457-8A2F-49E6-99C6-12BC4D108D89}" name="Projected Cost" totalsRowFunction="sum" dataDxfId="437" totalsRowDxfId="436"/>
    <tableColumn id="3" xr3:uid="{0E9C1879-B8F2-4FF6-8DD5-C28F6AA67852}" name="Actual Cost" totalsRowFunction="sum" dataDxfId="435" totalsRowDxfId="434"/>
    <tableColumn id="4" xr3:uid="{5C59B5B5-59AD-4FB5-A74D-CF6D59D89DAD}" name="Difference" totalsRowFunction="sum" dataDxfId="433" totalsRowDxfId="432">
      <calculatedColumnFormula>Table8141152163174185207[[#This Row],[Projected Cost]]-Table8141152163174185207[[#This Row],[Actual Cost]]</calculatedColumnFormula>
    </tableColumn>
  </tableColumns>
  <tableStyleInfo name="TableStyleMedium23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97461B31-1CD2-4EDF-A544-4F14ABA66CC3}" name="Table10142153164175186208" displayName="Table10142153164175186208" ref="G41:J45" totalsRowCount="1" headerRowDxfId="431" dataDxfId="430" totalsRowDxfId="428" tableBorderDxfId="429">
  <autoFilter ref="G41:J44" xr:uid="{00000000-0009-0000-0100-00000A000000}"/>
  <tableColumns count="4">
    <tableColumn id="1" xr3:uid="{DA788442-9875-4348-926F-03A61F76E99E}" name="SAVINGS OR INVESTMENTS" totalsRowLabel="Total" dataDxfId="427" totalsRowDxfId="426"/>
    <tableColumn id="2" xr3:uid="{773BA3A3-E38A-41F7-BE2B-C5EEA6D9E931}" name="Projected Cost" totalsRowFunction="sum" dataDxfId="425" totalsRowDxfId="424"/>
    <tableColumn id="3" xr3:uid="{8B67B2DE-518F-4BCD-A741-D990001975D2}" name="Actual Cost" totalsRowFunction="sum" dataDxfId="423" totalsRowDxfId="422"/>
    <tableColumn id="4" xr3:uid="{F0902F05-E9D6-4E5B-BAA9-BE583B3D87C9}" name="Difference" totalsRowFunction="sum" dataDxfId="421" totalsRowDxfId="420">
      <calculatedColumnFormula>Table10142153164175186208[[#This Row],[Projected Cost]]-Table10142153164175186208[[#This Row],[Actual Cost]]</calculatedColumnFormula>
    </tableColumn>
  </tableColumns>
  <tableStyleInfo name="TableStyleMedium23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5BDE1C4C-775F-4E99-B64F-C7E7CED5F0C2}" name="Table7143154165176187209" displayName="Table7143154165176187209" ref="B57:E65" totalsRowCount="1" headerRowDxfId="419" dataDxfId="418" totalsRowDxfId="416" tableBorderDxfId="417">
  <autoFilter ref="B57:E64" xr:uid="{00000000-0009-0000-0100-000007000000}"/>
  <tableColumns count="4">
    <tableColumn id="1" xr3:uid="{F5605BD2-41F4-4652-902E-6B1E17B0BB43}" name="PERSONAL CARE" totalsRowLabel="Total" dataDxfId="415" totalsRowDxfId="414"/>
    <tableColumn id="2" xr3:uid="{D0954D3B-6151-4B26-83C5-0E65D60209F8}" name="Projected Cost" totalsRowFunction="sum" dataDxfId="413" totalsRowDxfId="412"/>
    <tableColumn id="3" xr3:uid="{3686C716-93DF-47BF-9A57-AD54B542DCA6}" name="Actual Cost" totalsRowFunction="sum" dataDxfId="411" totalsRowDxfId="410"/>
    <tableColumn id="4" xr3:uid="{903EDF99-EFA2-4462-A871-F826ED7259B4}" name="Difference" totalsRowFunction="sum" dataDxfId="409" totalsRowDxfId="408">
      <calculatedColumnFormula>Table7143154165176187209[[#This Row],[Projected Cost]]-Table7143154165176187209[[#This Row],[Actual Cost]]</calculatedColumnFormula>
    </tableColumn>
  </tableColumns>
  <tableStyleInfo name="TableStyleMedium23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F552F914-3F2C-4374-B6B8-DD796615A9BA}" name="Table2144155166177188210" displayName="Table2144155166177188210" ref="G13:J23" totalsRowCount="1" headerRowDxfId="407" dataDxfId="406" totalsRowDxfId="404" tableBorderDxfId="405">
  <autoFilter ref="G13:J22" xr:uid="{00000000-0009-0000-0100-000002000000}"/>
  <tableColumns count="4">
    <tableColumn id="1" xr3:uid="{A9FAEDD1-5008-40BD-88F5-81CAD52EFB72}" name="ENTERTAINMENT" totalsRowLabel="Total" dataDxfId="403" totalsRowDxfId="402"/>
    <tableColumn id="2" xr3:uid="{9BF1D009-B1FA-4879-ACC7-76195EAEAF5A}" name="Projected Cost" totalsRowFunction="sum" dataDxfId="401" totalsRowDxfId="400"/>
    <tableColumn id="3" xr3:uid="{68ADCD7B-9ACE-4779-B5C3-3FA41AE4B9F1}" name="Actual Cost" totalsRowFunction="sum" dataDxfId="399" totalsRowDxfId="398"/>
    <tableColumn id="4" xr3:uid="{05CC9C7A-0BA1-4369-AC3C-05538D0E5D89}" name="Difference" totalsRowFunction="sum" dataDxfId="397" totalsRowDxfId="396">
      <calculatedColumnFormula>Table2144155166177188210[[#This Row],[Projected Cost]]-Table2144155166177188210[[#This Row],[Actual Cost]]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5.xml"/><Relationship Id="rId13" Type="http://schemas.openxmlformats.org/officeDocument/2006/relationships/table" Target="../tables/table110.xml"/><Relationship Id="rId3" Type="http://schemas.openxmlformats.org/officeDocument/2006/relationships/table" Target="../tables/table100.xml"/><Relationship Id="rId7" Type="http://schemas.openxmlformats.org/officeDocument/2006/relationships/table" Target="../tables/table104.xml"/><Relationship Id="rId12" Type="http://schemas.openxmlformats.org/officeDocument/2006/relationships/table" Target="../tables/table10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103.xml"/><Relationship Id="rId11" Type="http://schemas.openxmlformats.org/officeDocument/2006/relationships/table" Target="../tables/table108.xml"/><Relationship Id="rId5" Type="http://schemas.openxmlformats.org/officeDocument/2006/relationships/table" Target="../tables/table102.xml"/><Relationship Id="rId10" Type="http://schemas.openxmlformats.org/officeDocument/2006/relationships/table" Target="../tables/table107.xml"/><Relationship Id="rId4" Type="http://schemas.openxmlformats.org/officeDocument/2006/relationships/table" Target="../tables/table101.xml"/><Relationship Id="rId9" Type="http://schemas.openxmlformats.org/officeDocument/2006/relationships/table" Target="../tables/table106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6.xml"/><Relationship Id="rId13" Type="http://schemas.openxmlformats.org/officeDocument/2006/relationships/table" Target="../tables/table121.xml"/><Relationship Id="rId3" Type="http://schemas.openxmlformats.org/officeDocument/2006/relationships/table" Target="../tables/table111.xml"/><Relationship Id="rId7" Type="http://schemas.openxmlformats.org/officeDocument/2006/relationships/table" Target="../tables/table115.xml"/><Relationship Id="rId12" Type="http://schemas.openxmlformats.org/officeDocument/2006/relationships/table" Target="../tables/table12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114.xml"/><Relationship Id="rId11" Type="http://schemas.openxmlformats.org/officeDocument/2006/relationships/table" Target="../tables/table119.xml"/><Relationship Id="rId5" Type="http://schemas.openxmlformats.org/officeDocument/2006/relationships/table" Target="../tables/table113.xml"/><Relationship Id="rId10" Type="http://schemas.openxmlformats.org/officeDocument/2006/relationships/table" Target="../tables/table118.xml"/><Relationship Id="rId4" Type="http://schemas.openxmlformats.org/officeDocument/2006/relationships/table" Target="../tables/table112.xml"/><Relationship Id="rId9" Type="http://schemas.openxmlformats.org/officeDocument/2006/relationships/table" Target="../tables/table117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7.xml"/><Relationship Id="rId13" Type="http://schemas.openxmlformats.org/officeDocument/2006/relationships/table" Target="../tables/table132.xml"/><Relationship Id="rId3" Type="http://schemas.openxmlformats.org/officeDocument/2006/relationships/table" Target="../tables/table122.xml"/><Relationship Id="rId7" Type="http://schemas.openxmlformats.org/officeDocument/2006/relationships/table" Target="../tables/table126.xml"/><Relationship Id="rId12" Type="http://schemas.openxmlformats.org/officeDocument/2006/relationships/table" Target="../tables/table13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125.xml"/><Relationship Id="rId11" Type="http://schemas.openxmlformats.org/officeDocument/2006/relationships/table" Target="../tables/table130.xml"/><Relationship Id="rId5" Type="http://schemas.openxmlformats.org/officeDocument/2006/relationships/table" Target="../tables/table124.xml"/><Relationship Id="rId10" Type="http://schemas.openxmlformats.org/officeDocument/2006/relationships/table" Target="../tables/table129.xml"/><Relationship Id="rId4" Type="http://schemas.openxmlformats.org/officeDocument/2006/relationships/table" Target="../tables/table123.xml"/><Relationship Id="rId9" Type="http://schemas.openxmlformats.org/officeDocument/2006/relationships/table" Target="../tables/table12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13" Type="http://schemas.openxmlformats.org/officeDocument/2006/relationships/table" Target="../tables/table22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12" Type="http://schemas.openxmlformats.org/officeDocument/2006/relationships/table" Target="../tables/table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5.xml"/><Relationship Id="rId11" Type="http://schemas.openxmlformats.org/officeDocument/2006/relationships/table" Target="../tables/table20.xml"/><Relationship Id="rId5" Type="http://schemas.openxmlformats.org/officeDocument/2006/relationships/table" Target="../tables/table14.xml"/><Relationship Id="rId10" Type="http://schemas.openxmlformats.org/officeDocument/2006/relationships/table" Target="../tables/table19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.xml"/><Relationship Id="rId13" Type="http://schemas.openxmlformats.org/officeDocument/2006/relationships/table" Target="../tables/table33.xml"/><Relationship Id="rId3" Type="http://schemas.openxmlformats.org/officeDocument/2006/relationships/table" Target="../tables/table23.xml"/><Relationship Id="rId7" Type="http://schemas.openxmlformats.org/officeDocument/2006/relationships/table" Target="../tables/table27.xml"/><Relationship Id="rId12" Type="http://schemas.openxmlformats.org/officeDocument/2006/relationships/table" Target="../tables/table3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6.xml"/><Relationship Id="rId11" Type="http://schemas.openxmlformats.org/officeDocument/2006/relationships/table" Target="../tables/table31.xml"/><Relationship Id="rId5" Type="http://schemas.openxmlformats.org/officeDocument/2006/relationships/table" Target="../tables/table25.xml"/><Relationship Id="rId10" Type="http://schemas.openxmlformats.org/officeDocument/2006/relationships/table" Target="../tables/table30.xml"/><Relationship Id="rId4" Type="http://schemas.openxmlformats.org/officeDocument/2006/relationships/table" Target="../tables/table24.xml"/><Relationship Id="rId9" Type="http://schemas.openxmlformats.org/officeDocument/2006/relationships/table" Target="../tables/table2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3" Type="http://schemas.openxmlformats.org/officeDocument/2006/relationships/table" Target="../tables/table34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5" Type="http://schemas.openxmlformats.org/officeDocument/2006/relationships/table" Target="../tables/table36.xml"/><Relationship Id="rId10" Type="http://schemas.openxmlformats.org/officeDocument/2006/relationships/table" Target="../tables/table41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0.xml"/><Relationship Id="rId13" Type="http://schemas.openxmlformats.org/officeDocument/2006/relationships/table" Target="../tables/table55.xml"/><Relationship Id="rId3" Type="http://schemas.openxmlformats.org/officeDocument/2006/relationships/table" Target="../tables/table45.xml"/><Relationship Id="rId7" Type="http://schemas.openxmlformats.org/officeDocument/2006/relationships/table" Target="../tables/table49.xml"/><Relationship Id="rId12" Type="http://schemas.openxmlformats.org/officeDocument/2006/relationships/table" Target="../tables/table5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48.xml"/><Relationship Id="rId11" Type="http://schemas.openxmlformats.org/officeDocument/2006/relationships/table" Target="../tables/table53.xml"/><Relationship Id="rId5" Type="http://schemas.openxmlformats.org/officeDocument/2006/relationships/table" Target="../tables/table47.xml"/><Relationship Id="rId10" Type="http://schemas.openxmlformats.org/officeDocument/2006/relationships/table" Target="../tables/table52.xml"/><Relationship Id="rId4" Type="http://schemas.openxmlformats.org/officeDocument/2006/relationships/table" Target="../tables/table46.xml"/><Relationship Id="rId9" Type="http://schemas.openxmlformats.org/officeDocument/2006/relationships/table" Target="../tables/table5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1.xml"/><Relationship Id="rId13" Type="http://schemas.openxmlformats.org/officeDocument/2006/relationships/table" Target="../tables/table66.xml"/><Relationship Id="rId3" Type="http://schemas.openxmlformats.org/officeDocument/2006/relationships/table" Target="../tables/table56.xml"/><Relationship Id="rId7" Type="http://schemas.openxmlformats.org/officeDocument/2006/relationships/table" Target="../tables/table60.xml"/><Relationship Id="rId12" Type="http://schemas.openxmlformats.org/officeDocument/2006/relationships/table" Target="../tables/table6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59.xml"/><Relationship Id="rId11" Type="http://schemas.openxmlformats.org/officeDocument/2006/relationships/table" Target="../tables/table64.xml"/><Relationship Id="rId5" Type="http://schemas.openxmlformats.org/officeDocument/2006/relationships/table" Target="../tables/table58.xml"/><Relationship Id="rId10" Type="http://schemas.openxmlformats.org/officeDocument/2006/relationships/table" Target="../tables/table63.xml"/><Relationship Id="rId4" Type="http://schemas.openxmlformats.org/officeDocument/2006/relationships/table" Target="../tables/table57.xml"/><Relationship Id="rId9" Type="http://schemas.openxmlformats.org/officeDocument/2006/relationships/table" Target="../tables/table6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2.xml"/><Relationship Id="rId13" Type="http://schemas.openxmlformats.org/officeDocument/2006/relationships/table" Target="../tables/table77.xml"/><Relationship Id="rId3" Type="http://schemas.openxmlformats.org/officeDocument/2006/relationships/table" Target="../tables/table67.xml"/><Relationship Id="rId7" Type="http://schemas.openxmlformats.org/officeDocument/2006/relationships/table" Target="../tables/table71.xml"/><Relationship Id="rId12" Type="http://schemas.openxmlformats.org/officeDocument/2006/relationships/table" Target="../tables/table7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70.xml"/><Relationship Id="rId11" Type="http://schemas.openxmlformats.org/officeDocument/2006/relationships/table" Target="../tables/table75.xml"/><Relationship Id="rId5" Type="http://schemas.openxmlformats.org/officeDocument/2006/relationships/table" Target="../tables/table69.xml"/><Relationship Id="rId10" Type="http://schemas.openxmlformats.org/officeDocument/2006/relationships/table" Target="../tables/table74.xml"/><Relationship Id="rId4" Type="http://schemas.openxmlformats.org/officeDocument/2006/relationships/table" Target="../tables/table68.xml"/><Relationship Id="rId9" Type="http://schemas.openxmlformats.org/officeDocument/2006/relationships/table" Target="../tables/table7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3.xml"/><Relationship Id="rId13" Type="http://schemas.openxmlformats.org/officeDocument/2006/relationships/table" Target="../tables/table88.xml"/><Relationship Id="rId3" Type="http://schemas.openxmlformats.org/officeDocument/2006/relationships/table" Target="../tables/table78.xml"/><Relationship Id="rId7" Type="http://schemas.openxmlformats.org/officeDocument/2006/relationships/table" Target="../tables/table82.xml"/><Relationship Id="rId12" Type="http://schemas.openxmlformats.org/officeDocument/2006/relationships/table" Target="../tables/table8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81.xml"/><Relationship Id="rId11" Type="http://schemas.openxmlformats.org/officeDocument/2006/relationships/table" Target="../tables/table86.xml"/><Relationship Id="rId5" Type="http://schemas.openxmlformats.org/officeDocument/2006/relationships/table" Target="../tables/table80.xml"/><Relationship Id="rId10" Type="http://schemas.openxmlformats.org/officeDocument/2006/relationships/table" Target="../tables/table85.xml"/><Relationship Id="rId4" Type="http://schemas.openxmlformats.org/officeDocument/2006/relationships/table" Target="../tables/table79.xml"/><Relationship Id="rId9" Type="http://schemas.openxmlformats.org/officeDocument/2006/relationships/table" Target="../tables/table8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4.xml"/><Relationship Id="rId13" Type="http://schemas.openxmlformats.org/officeDocument/2006/relationships/table" Target="../tables/table99.xml"/><Relationship Id="rId3" Type="http://schemas.openxmlformats.org/officeDocument/2006/relationships/table" Target="../tables/table89.xml"/><Relationship Id="rId7" Type="http://schemas.openxmlformats.org/officeDocument/2006/relationships/table" Target="../tables/table93.xml"/><Relationship Id="rId12" Type="http://schemas.openxmlformats.org/officeDocument/2006/relationships/table" Target="../tables/table9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92.xml"/><Relationship Id="rId11" Type="http://schemas.openxmlformats.org/officeDocument/2006/relationships/table" Target="../tables/table97.xml"/><Relationship Id="rId5" Type="http://schemas.openxmlformats.org/officeDocument/2006/relationships/table" Target="../tables/table91.xml"/><Relationship Id="rId10" Type="http://schemas.openxmlformats.org/officeDocument/2006/relationships/table" Target="../tables/table96.xml"/><Relationship Id="rId4" Type="http://schemas.openxmlformats.org/officeDocument/2006/relationships/table" Target="../tables/table90.xml"/><Relationship Id="rId9" Type="http://schemas.openxmlformats.org/officeDocument/2006/relationships/table" Target="../tables/table9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66"/>
  <sheetViews>
    <sheetView showGridLines="0" tabSelected="1" topLeftCell="A37" workbookViewId="0">
      <selection activeCell="J53" sqref="J53:J58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3" t="s">
        <v>34</v>
      </c>
      <c r="C2" s="33"/>
      <c r="D2" s="33"/>
      <c r="E2" s="33"/>
      <c r="F2" s="33"/>
      <c r="G2" s="33"/>
      <c r="H2" s="33"/>
      <c r="I2" s="33"/>
      <c r="J2" s="33"/>
    </row>
    <row r="3" spans="1:10" ht="8.1" customHeight="1" x14ac:dyDescent="0.2">
      <c r="A3" s="2"/>
      <c r="B3" s="43"/>
      <c r="C3" s="43"/>
      <c r="D3" s="43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40" t="s">
        <v>53</v>
      </c>
      <c r="C4" s="38" t="s">
        <v>68</v>
      </c>
      <c r="D4" s="39"/>
      <c r="E4" s="17">
        <v>0</v>
      </c>
      <c r="F4" s="5"/>
      <c r="G4" s="44" t="s">
        <v>58</v>
      </c>
      <c r="H4" s="45"/>
      <c r="I4" s="46"/>
      <c r="J4" s="53">
        <f>E7-J53</f>
        <v>0</v>
      </c>
    </row>
    <row r="5" spans="1:10" ht="15.95" customHeight="1" x14ac:dyDescent="0.2">
      <c r="A5" s="2"/>
      <c r="B5" s="41"/>
      <c r="C5" s="38" t="s">
        <v>69</v>
      </c>
      <c r="D5" s="39"/>
      <c r="E5" s="17">
        <v>0</v>
      </c>
      <c r="F5" s="5"/>
      <c r="G5" s="47"/>
      <c r="H5" s="48"/>
      <c r="I5" s="49"/>
      <c r="J5" s="54"/>
    </row>
    <row r="6" spans="1:10" ht="15.95" customHeight="1" x14ac:dyDescent="0.2">
      <c r="A6" s="2"/>
      <c r="B6" s="41"/>
      <c r="C6" s="27" t="s">
        <v>10</v>
      </c>
      <c r="D6" s="28"/>
      <c r="E6" s="17">
        <v>0</v>
      </c>
      <c r="F6" s="5"/>
      <c r="G6" s="50"/>
      <c r="H6" s="51"/>
      <c r="I6" s="52"/>
      <c r="J6" s="55"/>
    </row>
    <row r="7" spans="1:10" ht="15.95" customHeight="1" x14ac:dyDescent="0.2">
      <c r="A7" s="2"/>
      <c r="B7" s="42"/>
      <c r="C7" s="36" t="s">
        <v>35</v>
      </c>
      <c r="D7" s="37"/>
      <c r="E7" s="30">
        <f>SUM(E4:E6)</f>
        <v>0</v>
      </c>
      <c r="F7" s="5"/>
      <c r="G7" s="44" t="s">
        <v>59</v>
      </c>
      <c r="H7" s="45"/>
      <c r="I7" s="46"/>
      <c r="J7" s="53">
        <f>E11-J55</f>
        <v>0</v>
      </c>
    </row>
    <row r="8" spans="1:10" ht="15.95" customHeight="1" x14ac:dyDescent="0.2">
      <c r="A8" s="2"/>
      <c r="B8" s="40" t="s">
        <v>52</v>
      </c>
      <c r="C8" s="38" t="s">
        <v>68</v>
      </c>
      <c r="D8" s="39"/>
      <c r="E8" s="17">
        <v>0</v>
      </c>
      <c r="F8" s="5"/>
      <c r="G8" s="47"/>
      <c r="H8" s="48"/>
      <c r="I8" s="49"/>
      <c r="J8" s="54"/>
    </row>
    <row r="9" spans="1:10" ht="15.95" customHeight="1" x14ac:dyDescent="0.2">
      <c r="A9" s="2"/>
      <c r="B9" s="41"/>
      <c r="C9" s="27" t="s">
        <v>69</v>
      </c>
      <c r="D9" s="28"/>
      <c r="E9" s="17">
        <v>0</v>
      </c>
      <c r="F9" s="5"/>
      <c r="G9" s="50"/>
      <c r="H9" s="51"/>
      <c r="I9" s="52"/>
      <c r="J9" s="55"/>
    </row>
    <row r="10" spans="1:10" ht="15.95" customHeight="1" x14ac:dyDescent="0.2">
      <c r="A10" s="2"/>
      <c r="B10" s="41"/>
      <c r="C10" s="38" t="s">
        <v>10</v>
      </c>
      <c r="D10" s="39"/>
      <c r="E10" s="17">
        <v>0</v>
      </c>
      <c r="F10" s="5"/>
      <c r="G10" s="34" t="s">
        <v>60</v>
      </c>
      <c r="H10" s="34"/>
      <c r="I10" s="34"/>
      <c r="J10" s="35">
        <f>J7-J4</f>
        <v>0</v>
      </c>
    </row>
    <row r="11" spans="1:10" ht="15.95" customHeight="1" x14ac:dyDescent="0.2">
      <c r="A11" s="2"/>
      <c r="B11" s="42"/>
      <c r="C11" s="36" t="s">
        <v>35</v>
      </c>
      <c r="D11" s="37"/>
      <c r="E11" s="30">
        <f>SUM(E8:E10)</f>
        <v>0</v>
      </c>
      <c r="F11" s="5"/>
      <c r="G11" s="34"/>
      <c r="H11" s="34"/>
      <c r="I11" s="34"/>
      <c r="J11" s="35"/>
    </row>
    <row r="12" spans="1:10" ht="15.95" customHeight="1" x14ac:dyDescent="0.2">
      <c r="A12" s="2"/>
      <c r="B12" s="9"/>
      <c r="C12" s="9"/>
      <c r="D12" s="10"/>
      <c r="E12" s="11"/>
      <c r="F12" s="5"/>
      <c r="G12" s="12"/>
      <c r="H12" s="12"/>
      <c r="I12" s="12"/>
      <c r="J12" s="13"/>
    </row>
    <row r="13" spans="1:10" ht="15.95" customHeight="1" x14ac:dyDescent="0.2">
      <c r="A13" s="2"/>
      <c r="B13" s="18" t="s">
        <v>43</v>
      </c>
      <c r="C13" s="19" t="s">
        <v>0</v>
      </c>
      <c r="D13" s="19" t="s">
        <v>1</v>
      </c>
      <c r="E13" s="20" t="s">
        <v>2</v>
      </c>
      <c r="F13" s="16"/>
      <c r="G13" s="18" t="s">
        <v>44</v>
      </c>
      <c r="H13" s="19" t="s">
        <v>0</v>
      </c>
      <c r="I13" s="19" t="s">
        <v>1</v>
      </c>
      <c r="J13" s="20" t="s">
        <v>2</v>
      </c>
    </row>
    <row r="14" spans="1:10" ht="15.75" customHeight="1" x14ac:dyDescent="0.2">
      <c r="A14" s="2"/>
      <c r="B14" s="25" t="s">
        <v>62</v>
      </c>
      <c r="C14" s="21"/>
      <c r="D14" s="21"/>
      <c r="E14" s="22">
        <f>Table1[[#This Row],[Projected Cost]]-Table1[[#This Row],[Actual Cost]]</f>
        <v>0</v>
      </c>
      <c r="F14" s="15"/>
      <c r="G14" s="25" t="s">
        <v>66</v>
      </c>
      <c r="H14" s="21"/>
      <c r="I14" s="21"/>
      <c r="J14" s="22">
        <f>Table2[[#This Row],[Projected Cost]]-Table2[[#This Row],[Actual Cost]]</f>
        <v>0</v>
      </c>
    </row>
    <row r="15" spans="1:10" ht="15.75" customHeight="1" x14ac:dyDescent="0.2">
      <c r="A15" s="2"/>
      <c r="B15" s="25" t="s">
        <v>3</v>
      </c>
      <c r="C15" s="21"/>
      <c r="D15" s="21"/>
      <c r="E15" s="22">
        <f>Table1[[#This Row],[Projected Cost]]-Table1[[#This Row],[Actual Cost]]</f>
        <v>0</v>
      </c>
      <c r="F15" s="15"/>
      <c r="G15" s="25" t="s">
        <v>61</v>
      </c>
      <c r="H15" s="21"/>
      <c r="I15" s="21"/>
      <c r="J15" s="22">
        <f>Table2[[#This Row],[Projected Cost]]-Table2[[#This Row],[Actual Cost]]</f>
        <v>0</v>
      </c>
    </row>
    <row r="16" spans="1:10" ht="15.75" customHeight="1" x14ac:dyDescent="0.2">
      <c r="A16" s="2"/>
      <c r="B16" s="25" t="s">
        <v>37</v>
      </c>
      <c r="C16" s="21"/>
      <c r="D16" s="21"/>
      <c r="E16" s="22">
        <f>Table1[[#This Row],[Projected Cost]]-Table1[[#This Row],[Actual Cost]]</f>
        <v>0</v>
      </c>
      <c r="F16" s="15"/>
      <c r="G16" s="25" t="s">
        <v>25</v>
      </c>
      <c r="H16" s="21"/>
      <c r="I16" s="21"/>
      <c r="J16" s="22">
        <f>Table2[[#This Row],[Projected Cost]]-Table2[[#This Row],[Actual Cost]]</f>
        <v>0</v>
      </c>
    </row>
    <row r="17" spans="1:10" ht="15.75" customHeight="1" x14ac:dyDescent="0.2">
      <c r="A17" s="2"/>
      <c r="B17" s="25" t="s">
        <v>4</v>
      </c>
      <c r="C17" s="21"/>
      <c r="D17" s="21"/>
      <c r="E17" s="22">
        <f>Table1[[#This Row],[Projected Cost]]-Table1[[#This Row],[Actual Cost]]</f>
        <v>0</v>
      </c>
      <c r="F17" s="15"/>
      <c r="G17" s="25" t="s">
        <v>26</v>
      </c>
      <c r="H17" s="21"/>
      <c r="I17" s="21"/>
      <c r="J17" s="22">
        <f>Table2[[#This Row],[Projected Cost]]-Table2[[#This Row],[Actual Cost]]</f>
        <v>0</v>
      </c>
    </row>
    <row r="18" spans="1:10" ht="15.75" customHeight="1" x14ac:dyDescent="0.2">
      <c r="A18" s="2"/>
      <c r="B18" s="25" t="s">
        <v>5</v>
      </c>
      <c r="C18" s="21"/>
      <c r="D18" s="21"/>
      <c r="E18" s="22">
        <f>Table1[[#This Row],[Projected Cost]]-Table1[[#This Row],[Actual Cost]]</f>
        <v>0</v>
      </c>
      <c r="F18" s="15"/>
      <c r="G18" s="25" t="s">
        <v>39</v>
      </c>
      <c r="H18" s="21"/>
      <c r="I18" s="21"/>
      <c r="J18" s="22">
        <f>Table2[[#This Row],[Projected Cost]]-Table2[[#This Row],[Actual Cost]]</f>
        <v>0</v>
      </c>
    </row>
    <row r="19" spans="1:10" ht="15.75" customHeight="1" x14ac:dyDescent="0.2">
      <c r="A19" s="2"/>
      <c r="B19" s="25" t="s">
        <v>6</v>
      </c>
      <c r="C19" s="21"/>
      <c r="D19" s="21"/>
      <c r="E19" s="22">
        <f>Table1[[#This Row],[Projected Cost]]-Table1[[#This Row],[Actual Cost]]</f>
        <v>0</v>
      </c>
      <c r="F19" s="15"/>
      <c r="G19" s="25" t="s">
        <v>27</v>
      </c>
      <c r="H19" s="21"/>
      <c r="I19" s="21"/>
      <c r="J19" s="22">
        <f>Table2[[#This Row],[Projected Cost]]-Table2[[#This Row],[Actual Cost]]</f>
        <v>0</v>
      </c>
    </row>
    <row r="20" spans="1:10" ht="15.75" customHeight="1" x14ac:dyDescent="0.2">
      <c r="A20" s="2"/>
      <c r="B20" s="25" t="s">
        <v>7</v>
      </c>
      <c r="C20" s="21"/>
      <c r="D20" s="21"/>
      <c r="E20" s="22">
        <f>Table1[[#This Row],[Projected Cost]]-Table1[[#This Row],[Actual Cost]]</f>
        <v>0</v>
      </c>
      <c r="F20" s="15"/>
      <c r="G20" s="25" t="s">
        <v>10</v>
      </c>
      <c r="H20" s="21"/>
      <c r="I20" s="21"/>
      <c r="J20" s="22">
        <f>Table2[[#This Row],[Projected Cost]]-Table2[[#This Row],[Actual Cost]]</f>
        <v>0</v>
      </c>
    </row>
    <row r="21" spans="1:10" ht="15.75" customHeight="1" x14ac:dyDescent="0.2">
      <c r="A21" s="2"/>
      <c r="B21" s="25" t="s">
        <v>8</v>
      </c>
      <c r="C21" s="21"/>
      <c r="D21" s="21"/>
      <c r="E21" s="22">
        <f>Table1[[#This Row],[Projected Cost]]-Table1[[#This Row],[Actual Cost]]</f>
        <v>0</v>
      </c>
      <c r="F21" s="15"/>
      <c r="G21" s="25" t="s">
        <v>10</v>
      </c>
      <c r="H21" s="21"/>
      <c r="I21" s="21"/>
      <c r="J21" s="22">
        <f>Table2[[#This Row],[Projected Cost]]-Table2[[#This Row],[Actual Cost]]</f>
        <v>0</v>
      </c>
    </row>
    <row r="22" spans="1:10" ht="15.75" customHeight="1" x14ac:dyDescent="0.2">
      <c r="A22" s="2"/>
      <c r="B22" s="25" t="s">
        <v>9</v>
      </c>
      <c r="C22" s="21"/>
      <c r="D22" s="21"/>
      <c r="E22" s="22">
        <f>Table1[[#This Row],[Projected Cost]]-Table1[[#This Row],[Actual Cost]]</f>
        <v>0</v>
      </c>
      <c r="F22" s="15"/>
      <c r="G22" s="25" t="s">
        <v>10</v>
      </c>
      <c r="H22" s="21"/>
      <c r="I22" s="21"/>
      <c r="J22" s="22">
        <f>Table2[[#This Row],[Projected Cost]]-Table2[[#This Row],[Actual Cost]]</f>
        <v>0</v>
      </c>
    </row>
    <row r="23" spans="1:10" ht="15.75" customHeight="1" x14ac:dyDescent="0.2">
      <c r="A23" s="2"/>
      <c r="B23" s="25" t="s">
        <v>10</v>
      </c>
      <c r="C23" s="21"/>
      <c r="D23" s="21"/>
      <c r="E23" s="22">
        <f>Table1[[#This Row],[Projected Cost]]-Table1[[#This Row],[Actual Cost]]</f>
        <v>0</v>
      </c>
      <c r="F23" s="15"/>
      <c r="G23" s="18" t="s">
        <v>57</v>
      </c>
      <c r="H23" s="23">
        <f>SUBTOTAL(109,Table2[Projected Cost])</f>
        <v>0</v>
      </c>
      <c r="I23" s="21">
        <f>SUBTOTAL(109,Table2[Actual Cost])</f>
        <v>0</v>
      </c>
      <c r="J23" s="24">
        <f>SUBTOTAL(109,Table2[Difference])</f>
        <v>0</v>
      </c>
    </row>
    <row r="24" spans="1:10" ht="15.75" customHeight="1" x14ac:dyDescent="0.2">
      <c r="A24" s="2"/>
      <c r="B24" s="18" t="s">
        <v>57</v>
      </c>
      <c r="C24" s="21">
        <f>SUBTOTAL(109,Table1[Projected Cost])</f>
        <v>0</v>
      </c>
      <c r="D24" s="21">
        <f>SUBTOTAL(109,Table1[Actual Cost])</f>
        <v>0</v>
      </c>
      <c r="E24" s="24">
        <f>SUBTOTAL(109,Table1[Difference])</f>
        <v>0</v>
      </c>
      <c r="F24" s="15"/>
      <c r="G24" s="32"/>
      <c r="H24" s="32"/>
      <c r="I24" s="32"/>
      <c r="J24" s="32"/>
    </row>
    <row r="25" spans="1:10" ht="15.75" customHeight="1" x14ac:dyDescent="0.2">
      <c r="A25" s="2"/>
      <c r="B25" s="31"/>
      <c r="C25" s="31"/>
      <c r="D25" s="31"/>
      <c r="E25" s="31"/>
      <c r="F25" s="15"/>
      <c r="G25" s="18" t="s">
        <v>67</v>
      </c>
      <c r="H25" s="19" t="s">
        <v>0</v>
      </c>
      <c r="I25" s="19" t="s">
        <v>1</v>
      </c>
      <c r="J25" s="20" t="s">
        <v>2</v>
      </c>
    </row>
    <row r="26" spans="1:10" ht="15.75" customHeight="1" x14ac:dyDescent="0.2">
      <c r="A26" s="2"/>
      <c r="B26" s="18" t="s">
        <v>45</v>
      </c>
      <c r="C26" s="19" t="s">
        <v>0</v>
      </c>
      <c r="D26" s="19" t="s">
        <v>1</v>
      </c>
      <c r="E26" s="20" t="s">
        <v>2</v>
      </c>
      <c r="F26" s="15"/>
      <c r="G26" s="25" t="s">
        <v>29</v>
      </c>
      <c r="H26" s="21"/>
      <c r="I26" s="21"/>
      <c r="J26" s="22">
        <f>Table8[[#This Row],[Projected Cost]]-Table8[[#This Row],[Actual Cost]]</f>
        <v>0</v>
      </c>
    </row>
    <row r="27" spans="1:10" ht="15.75" customHeight="1" x14ac:dyDescent="0.2">
      <c r="A27" s="2"/>
      <c r="B27" s="25" t="s">
        <v>38</v>
      </c>
      <c r="C27" s="21"/>
      <c r="D27" s="21"/>
      <c r="E27" s="22">
        <f>Table3[[#This Row],[Projected Cost]]-Table3[[#This Row],[Actual Cost]]</f>
        <v>0</v>
      </c>
      <c r="F27" s="15"/>
      <c r="G27" s="25" t="s">
        <v>33</v>
      </c>
      <c r="H27" s="21"/>
      <c r="I27" s="21"/>
      <c r="J27" s="22">
        <f>Table8[[#This Row],[Projected Cost]]-Table8[[#This Row],[Actual Cost]]</f>
        <v>0</v>
      </c>
    </row>
    <row r="28" spans="1:10" ht="15.75" customHeight="1" x14ac:dyDescent="0.2">
      <c r="A28" s="2"/>
      <c r="B28" s="25" t="s">
        <v>63</v>
      </c>
      <c r="C28" s="21"/>
      <c r="D28" s="21"/>
      <c r="E28" s="22">
        <f>Table3[[#This Row],[Projected Cost]]-Table3[[#This Row],[Actual Cost]]</f>
        <v>0</v>
      </c>
      <c r="F28" s="15"/>
      <c r="G28" s="25" t="s">
        <v>40</v>
      </c>
      <c r="H28" s="21"/>
      <c r="I28" s="21"/>
      <c r="J28" s="22">
        <f>Table8[[#This Row],[Projected Cost]]-Table8[[#This Row],[Actual Cost]]</f>
        <v>0</v>
      </c>
    </row>
    <row r="29" spans="1:10" ht="15.75" customHeight="1" x14ac:dyDescent="0.2">
      <c r="A29" s="2"/>
      <c r="B29" s="25" t="s">
        <v>11</v>
      </c>
      <c r="C29" s="21"/>
      <c r="D29" s="21"/>
      <c r="E29" s="22">
        <f>Table3[[#This Row],[Projected Cost]]-Table3[[#This Row],[Actual Cost]]</f>
        <v>0</v>
      </c>
      <c r="F29" s="15"/>
      <c r="G29" s="25" t="s">
        <v>40</v>
      </c>
      <c r="H29" s="21"/>
      <c r="I29" s="21"/>
      <c r="J29" s="22">
        <f>Table8[[#This Row],[Projected Cost]]-Table8[[#This Row],[Actual Cost]]</f>
        <v>0</v>
      </c>
    </row>
    <row r="30" spans="1:10" ht="15.75" customHeight="1" x14ac:dyDescent="0.2">
      <c r="A30" s="2"/>
      <c r="B30" s="25" t="s">
        <v>12</v>
      </c>
      <c r="C30" s="21"/>
      <c r="D30" s="21"/>
      <c r="E30" s="22">
        <f>Table3[[#This Row],[Projected Cost]]-Table3[[#This Row],[Actual Cost]]</f>
        <v>0</v>
      </c>
      <c r="F30" s="15"/>
      <c r="G30" s="25" t="s">
        <v>40</v>
      </c>
      <c r="H30" s="21"/>
      <c r="I30" s="21"/>
      <c r="J30" s="22">
        <f>Table8[[#This Row],[Projected Cost]]-Table8[[#This Row],[Actual Cost]]</f>
        <v>0</v>
      </c>
    </row>
    <row r="31" spans="1:10" ht="15.75" customHeight="1" x14ac:dyDescent="0.2">
      <c r="A31" s="2"/>
      <c r="B31" s="25" t="s">
        <v>13</v>
      </c>
      <c r="C31" s="21"/>
      <c r="D31" s="21"/>
      <c r="E31" s="22">
        <f>Table3[[#This Row],[Projected Cost]]-Table3[[#This Row],[Actual Cost]]</f>
        <v>0</v>
      </c>
      <c r="F31" s="15"/>
      <c r="G31" s="25" t="s">
        <v>10</v>
      </c>
      <c r="H31" s="21"/>
      <c r="I31" s="21"/>
      <c r="J31" s="22">
        <f>Table8[[#This Row],[Projected Cost]]-Table8[[#This Row],[Actual Cost]]</f>
        <v>0</v>
      </c>
    </row>
    <row r="32" spans="1:10" ht="15.75" customHeight="1" x14ac:dyDescent="0.2">
      <c r="A32" s="2"/>
      <c r="B32" s="25" t="s">
        <v>14</v>
      </c>
      <c r="C32" s="21"/>
      <c r="D32" s="21"/>
      <c r="E32" s="22">
        <f>Table3[[#This Row],[Projected Cost]]-Table3[[#This Row],[Actual Cost]]</f>
        <v>0</v>
      </c>
      <c r="F32" s="15"/>
      <c r="G32" s="18" t="s">
        <v>57</v>
      </c>
      <c r="H32" s="21">
        <f>SUBTOTAL(109,Table8[Projected Cost])</f>
        <v>0</v>
      </c>
      <c r="I32" s="21">
        <f>SUBTOTAL(109,Table8[Actual Cost])</f>
        <v>0</v>
      </c>
      <c r="J32" s="24">
        <f>SUBTOTAL(109,Table8[Difference])</f>
        <v>0</v>
      </c>
    </row>
    <row r="33" spans="1:10" ht="15.75" customHeight="1" x14ac:dyDescent="0.2">
      <c r="A33" s="2"/>
      <c r="B33" s="25" t="s">
        <v>10</v>
      </c>
      <c r="C33" s="21"/>
      <c r="D33" s="21"/>
      <c r="E33" s="22">
        <f>Table3[[#This Row],[Projected Cost]]-Table3[[#This Row],[Actual Cost]]</f>
        <v>0</v>
      </c>
      <c r="F33" s="15"/>
      <c r="G33" s="31"/>
      <c r="H33" s="31"/>
      <c r="I33" s="31"/>
      <c r="J33" s="31"/>
    </row>
    <row r="34" spans="1:10" ht="15.75" customHeight="1" x14ac:dyDescent="0.2">
      <c r="A34" s="2"/>
      <c r="B34" s="18" t="s">
        <v>57</v>
      </c>
      <c r="C34" s="21">
        <f>SUBTOTAL(109,Table3[Projected Cost])</f>
        <v>0</v>
      </c>
      <c r="D34" s="21">
        <f>SUBTOTAL(109,Table3[Actual Cost])</f>
        <v>0</v>
      </c>
      <c r="E34" s="24">
        <f>SUBTOTAL(109,Table3[Difference])</f>
        <v>0</v>
      </c>
      <c r="F34" s="15"/>
      <c r="G34" s="18" t="s">
        <v>10</v>
      </c>
      <c r="H34" s="19" t="s">
        <v>0</v>
      </c>
      <c r="I34" s="19" t="s">
        <v>1</v>
      </c>
      <c r="J34" s="20" t="s">
        <v>2</v>
      </c>
    </row>
    <row r="35" spans="1:10" ht="15.75" customHeight="1" x14ac:dyDescent="0.2">
      <c r="A35" s="2"/>
      <c r="B35" s="31"/>
      <c r="C35" s="31"/>
      <c r="D35" s="31"/>
      <c r="E35" s="31"/>
      <c r="F35" s="15"/>
      <c r="G35" s="25" t="s">
        <v>10</v>
      </c>
      <c r="H35" s="21"/>
      <c r="I35" s="21"/>
      <c r="J35" s="22">
        <f>Table9[[#This Row],[Projected Cost]]-Table9[[#This Row],[Actual Cost]]</f>
        <v>0</v>
      </c>
    </row>
    <row r="36" spans="1:10" ht="15.75" customHeight="1" x14ac:dyDescent="0.2">
      <c r="A36" s="2"/>
      <c r="B36" s="18" t="s">
        <v>46</v>
      </c>
      <c r="C36" s="19" t="s">
        <v>0</v>
      </c>
      <c r="D36" s="19" t="s">
        <v>1</v>
      </c>
      <c r="E36" s="20" t="s">
        <v>2</v>
      </c>
      <c r="F36" s="15"/>
      <c r="G36" s="25" t="s">
        <v>10</v>
      </c>
      <c r="H36" s="21"/>
      <c r="I36" s="21"/>
      <c r="J36" s="22">
        <f>Table9[[#This Row],[Projected Cost]]-Table9[[#This Row],[Actual Cost]]</f>
        <v>0</v>
      </c>
    </row>
    <row r="37" spans="1:10" ht="15.75" customHeight="1" x14ac:dyDescent="0.2">
      <c r="A37" s="2"/>
      <c r="B37" s="25" t="s">
        <v>64</v>
      </c>
      <c r="C37" s="21"/>
      <c r="D37" s="21"/>
      <c r="E37" s="22">
        <f>Table4[[#This Row],[Projected Cost]]-Table4[[#This Row],[Actual Cost]]</f>
        <v>0</v>
      </c>
      <c r="F37" s="15"/>
      <c r="G37" s="25" t="s">
        <v>10</v>
      </c>
      <c r="H37" s="21"/>
      <c r="I37" s="21"/>
      <c r="J37" s="22">
        <f>Table9[[#This Row],[Projected Cost]]-Table9[[#This Row],[Actual Cost]]</f>
        <v>0</v>
      </c>
    </row>
    <row r="38" spans="1:10" ht="15.75" customHeight="1" x14ac:dyDescent="0.2">
      <c r="A38" s="2"/>
      <c r="B38" s="25" t="s">
        <v>15</v>
      </c>
      <c r="C38" s="21"/>
      <c r="D38" s="21"/>
      <c r="E38" s="22">
        <f>Table4[[#This Row],[Projected Cost]]-Table4[[#This Row],[Actual Cost]]</f>
        <v>0</v>
      </c>
      <c r="F38" s="15"/>
      <c r="G38" s="25" t="s">
        <v>10</v>
      </c>
      <c r="H38" s="21"/>
      <c r="I38" s="21"/>
      <c r="J38" s="22">
        <f>Table9[[#This Row],[Projected Cost]]-Table9[[#This Row],[Actual Cost]]</f>
        <v>0</v>
      </c>
    </row>
    <row r="39" spans="1:10" ht="15.75" customHeight="1" x14ac:dyDescent="0.2">
      <c r="A39" s="2"/>
      <c r="B39" s="25" t="s">
        <v>16</v>
      </c>
      <c r="C39" s="21"/>
      <c r="D39" s="21"/>
      <c r="E39" s="22">
        <f>Table4[[#This Row],[Projected Cost]]-Table4[[#This Row],[Actual Cost]]</f>
        <v>0</v>
      </c>
      <c r="F39" s="15"/>
      <c r="G39" s="18" t="s">
        <v>57</v>
      </c>
      <c r="H39" s="21">
        <f>SUBTOTAL(109,Table9[Projected Cost])</f>
        <v>0</v>
      </c>
      <c r="I39" s="21">
        <f>SUBTOTAL(109,Table9[Actual Cost])</f>
        <v>0</v>
      </c>
      <c r="J39" s="24">
        <f>SUBTOTAL(109,Table9[Difference])</f>
        <v>0</v>
      </c>
    </row>
    <row r="40" spans="1:10" ht="15.75" customHeight="1" x14ac:dyDescent="0.2">
      <c r="A40" s="2"/>
      <c r="B40" s="25" t="s">
        <v>10</v>
      </c>
      <c r="C40" s="21"/>
      <c r="D40" s="21"/>
      <c r="E40" s="22">
        <f>Table4[[#This Row],[Projected Cost]]-Table4[[#This Row],[Actual Cost]]</f>
        <v>0</v>
      </c>
      <c r="F40" s="15"/>
      <c r="G40" s="31"/>
      <c r="H40" s="31"/>
      <c r="I40" s="31"/>
      <c r="J40" s="31"/>
    </row>
    <row r="41" spans="1:10" ht="15.75" customHeight="1" x14ac:dyDescent="0.2">
      <c r="A41" s="2"/>
      <c r="B41" s="18" t="s">
        <v>57</v>
      </c>
      <c r="C41" s="21">
        <f>SUBTOTAL(109,Table4[Projected Cost])</f>
        <v>0</v>
      </c>
      <c r="D41" s="21">
        <f>SUBTOTAL(109,Table4[Actual Cost])</f>
        <v>0</v>
      </c>
      <c r="E41" s="24">
        <f>SUBTOTAL(109,Table4[Difference])</f>
        <v>0</v>
      </c>
      <c r="F41" s="15"/>
      <c r="G41" s="18" t="s">
        <v>48</v>
      </c>
      <c r="H41" s="19" t="s">
        <v>0</v>
      </c>
      <c r="I41" s="19" t="s">
        <v>1</v>
      </c>
      <c r="J41" s="20" t="s">
        <v>2</v>
      </c>
    </row>
    <row r="42" spans="1:10" ht="15.75" customHeight="1" x14ac:dyDescent="0.2">
      <c r="A42" s="2"/>
      <c r="B42" s="31"/>
      <c r="C42" s="31"/>
      <c r="D42" s="31"/>
      <c r="E42" s="31"/>
      <c r="F42" s="15"/>
      <c r="G42" s="25" t="s">
        <v>41</v>
      </c>
      <c r="H42" s="21"/>
      <c r="I42" s="21"/>
      <c r="J42" s="22">
        <f>Table10[[#This Row],[Projected Cost]]-Table10[[#This Row],[Actual Cost]]</f>
        <v>0</v>
      </c>
    </row>
    <row r="43" spans="1:10" ht="15.75" customHeight="1" x14ac:dyDescent="0.2">
      <c r="A43" s="2"/>
      <c r="B43" s="18" t="s">
        <v>47</v>
      </c>
      <c r="C43" s="19" t="s">
        <v>0</v>
      </c>
      <c r="D43" s="19" t="s">
        <v>1</v>
      </c>
      <c r="E43" s="20" t="s">
        <v>2</v>
      </c>
      <c r="F43" s="15"/>
      <c r="G43" s="25" t="s">
        <v>42</v>
      </c>
      <c r="H43" s="21"/>
      <c r="I43" s="21"/>
      <c r="J43" s="22">
        <f>Table10[[#This Row],[Projected Cost]]-Table10[[#This Row],[Actual Cost]]</f>
        <v>0</v>
      </c>
    </row>
    <row r="44" spans="1:10" ht="15.75" customHeight="1" x14ac:dyDescent="0.2">
      <c r="A44" s="2"/>
      <c r="B44" s="25" t="s">
        <v>17</v>
      </c>
      <c r="C44" s="21"/>
      <c r="D44" s="21"/>
      <c r="E44" s="22">
        <f>Table5[[#This Row],[Projected Cost]]-Table5[[#This Row],[Actual Cost]]</f>
        <v>0</v>
      </c>
      <c r="F44" s="15"/>
      <c r="G44" s="25" t="s">
        <v>10</v>
      </c>
      <c r="H44" s="21"/>
      <c r="I44" s="21"/>
      <c r="J44" s="22">
        <f>Table10[[#This Row],[Projected Cost]]-Table10[[#This Row],[Actual Cost]]</f>
        <v>0</v>
      </c>
    </row>
    <row r="45" spans="1:10" ht="15.75" customHeight="1" x14ac:dyDescent="0.2">
      <c r="A45" s="2"/>
      <c r="B45" s="25" t="s">
        <v>24</v>
      </c>
      <c r="C45" s="21"/>
      <c r="D45" s="21"/>
      <c r="E45" s="22">
        <f>Table5[[#This Row],[Projected Cost]]-Table5[[#This Row],[Actual Cost]]</f>
        <v>0</v>
      </c>
      <c r="F45" s="15"/>
      <c r="G45" s="18" t="s">
        <v>57</v>
      </c>
      <c r="H45" s="21">
        <f>SUBTOTAL(109,Table10[Projected Cost])</f>
        <v>0</v>
      </c>
      <c r="I45" s="21">
        <f>SUBTOTAL(109,Table10[Actual Cost])</f>
        <v>0</v>
      </c>
      <c r="J45" s="24">
        <f>SUBTOTAL(109,Table10[Difference])</f>
        <v>0</v>
      </c>
    </row>
    <row r="46" spans="1:10" ht="15.75" customHeight="1" x14ac:dyDescent="0.2">
      <c r="A46" s="2"/>
      <c r="B46" s="25" t="s">
        <v>10</v>
      </c>
      <c r="C46" s="21"/>
      <c r="D46" s="21"/>
      <c r="E46" s="22">
        <f>Table5[[#This Row],[Projected Cost]]-Table5[[#This Row],[Actual Cost]]</f>
        <v>0</v>
      </c>
      <c r="F46" s="15"/>
      <c r="G46" s="31"/>
      <c r="H46" s="31"/>
      <c r="I46" s="31"/>
      <c r="J46" s="31"/>
    </row>
    <row r="47" spans="1:10" ht="15.75" customHeight="1" x14ac:dyDescent="0.2">
      <c r="A47" s="2"/>
      <c r="B47" s="18" t="s">
        <v>57</v>
      </c>
      <c r="C47" s="21">
        <f>SUBTOTAL(109,Table5[Projected Cost])</f>
        <v>0</v>
      </c>
      <c r="D47" s="21">
        <f>SUBTOTAL(109,Table5[Actual Cost])</f>
        <v>0</v>
      </c>
      <c r="E47" s="24">
        <f>SUBTOTAL(109,Table5[Difference])</f>
        <v>0</v>
      </c>
      <c r="F47" s="15"/>
      <c r="G47" s="18" t="s">
        <v>49</v>
      </c>
      <c r="H47" s="19" t="s">
        <v>0</v>
      </c>
      <c r="I47" s="19" t="s">
        <v>1</v>
      </c>
      <c r="J47" s="20" t="s">
        <v>2</v>
      </c>
    </row>
    <row r="48" spans="1:10" ht="15.75" customHeight="1" x14ac:dyDescent="0.2">
      <c r="A48" s="2"/>
      <c r="B48" s="31"/>
      <c r="C48" s="31"/>
      <c r="D48" s="31"/>
      <c r="E48" s="31"/>
      <c r="F48" s="15"/>
      <c r="G48" s="25" t="s">
        <v>30</v>
      </c>
      <c r="H48" s="21"/>
      <c r="I48" s="21"/>
      <c r="J48" s="22">
        <f>Table11[[#This Row],[Projected Cost]]-Table11[[#This Row],[Actual Cost]]</f>
        <v>0</v>
      </c>
    </row>
    <row r="49" spans="1:10" ht="15.75" customHeight="1" x14ac:dyDescent="0.2">
      <c r="A49" s="2"/>
      <c r="B49" s="18" t="s">
        <v>50</v>
      </c>
      <c r="C49" s="19" t="s">
        <v>0</v>
      </c>
      <c r="D49" s="19" t="s">
        <v>1</v>
      </c>
      <c r="E49" s="20" t="s">
        <v>2</v>
      </c>
      <c r="F49" s="15"/>
      <c r="G49" s="25" t="s">
        <v>31</v>
      </c>
      <c r="H49" s="21"/>
      <c r="I49" s="21"/>
      <c r="J49" s="22">
        <f>Table11[[#This Row],[Projected Cost]]-Table11[[#This Row],[Actual Cost]]</f>
        <v>0</v>
      </c>
    </row>
    <row r="50" spans="1:10" ht="15.75" customHeight="1" x14ac:dyDescent="0.2">
      <c r="A50" s="2"/>
      <c r="B50" s="25" t="s">
        <v>18</v>
      </c>
      <c r="C50" s="21"/>
      <c r="D50" s="21"/>
      <c r="E50" s="22">
        <f>Table6[[#This Row],[Projected Cost]]-Table6[[#This Row],[Actual Cost]]</f>
        <v>0</v>
      </c>
      <c r="F50" s="15"/>
      <c r="G50" s="25" t="s">
        <v>36</v>
      </c>
      <c r="H50" s="21"/>
      <c r="I50" s="21"/>
      <c r="J50" s="22">
        <f>Table11[[#This Row],[Projected Cost]]-Table11[[#This Row],[Actual Cost]]</f>
        <v>0</v>
      </c>
    </row>
    <row r="51" spans="1:10" ht="15.75" customHeight="1" x14ac:dyDescent="0.2">
      <c r="A51" s="2"/>
      <c r="B51" s="25" t="s">
        <v>20</v>
      </c>
      <c r="C51" s="21"/>
      <c r="D51" s="21"/>
      <c r="E51" s="22">
        <f>Table6[[#This Row],[Projected Cost]]-Table6[[#This Row],[Actual Cost]]</f>
        <v>0</v>
      </c>
      <c r="F51" s="15"/>
      <c r="G51" s="18" t="s">
        <v>57</v>
      </c>
      <c r="H51" s="21">
        <f>SUBTOTAL(109,Table11[Projected Cost])</f>
        <v>0</v>
      </c>
      <c r="I51" s="21">
        <f>SUBTOTAL(109,Table11[Actual Cost])</f>
        <v>0</v>
      </c>
      <c r="J51" s="24">
        <f>SUBTOTAL(109,Table11[Difference])</f>
        <v>0</v>
      </c>
    </row>
    <row r="52" spans="1:10" ht="15.75" customHeight="1" x14ac:dyDescent="0.2">
      <c r="A52" s="2"/>
      <c r="B52" s="25" t="s">
        <v>21</v>
      </c>
      <c r="C52" s="21"/>
      <c r="D52" s="21"/>
      <c r="E52" s="22">
        <f>Table6[[#This Row],[Projected Cost]]-Table6[[#This Row],[Actual Cost]]</f>
        <v>0</v>
      </c>
      <c r="F52" s="15"/>
      <c r="G52" s="31"/>
      <c r="H52" s="31"/>
      <c r="I52" s="31"/>
      <c r="J52" s="31"/>
    </row>
    <row r="53" spans="1:10" ht="15.75" customHeight="1" x14ac:dyDescent="0.2">
      <c r="A53" s="2"/>
      <c r="B53" s="25" t="s">
        <v>19</v>
      </c>
      <c r="C53" s="21"/>
      <c r="D53" s="21"/>
      <c r="E53" s="22">
        <f>Table6[[#This Row],[Projected Cost]]-Table6[[#This Row],[Actual Cost]]</f>
        <v>0</v>
      </c>
      <c r="F53" s="15"/>
      <c r="G53" s="34" t="s">
        <v>54</v>
      </c>
      <c r="H53" s="34"/>
      <c r="I53" s="34"/>
      <c r="J53" s="35">
        <f>SUM(C24,C34,C41,C47,C55,C65,H23,H32,H39,H45,H51)</f>
        <v>0</v>
      </c>
    </row>
    <row r="54" spans="1:10" ht="15.75" customHeight="1" x14ac:dyDescent="0.2">
      <c r="A54" s="2"/>
      <c r="B54" s="25" t="s">
        <v>10</v>
      </c>
      <c r="C54" s="21"/>
      <c r="D54" s="21"/>
      <c r="E54" s="22">
        <f>Table6[[#This Row],[Projected Cost]]-Table6[[#This Row],[Actual Cost]]</f>
        <v>0</v>
      </c>
      <c r="F54" s="15"/>
      <c r="G54" s="34"/>
      <c r="H54" s="34"/>
      <c r="I54" s="34"/>
      <c r="J54" s="35"/>
    </row>
    <row r="55" spans="1:10" ht="15.75" customHeight="1" x14ac:dyDescent="0.2">
      <c r="A55" s="2"/>
      <c r="B55" s="18" t="s">
        <v>57</v>
      </c>
      <c r="C55" s="21">
        <f>SUBTOTAL(109,Table6[Projected Cost])</f>
        <v>0</v>
      </c>
      <c r="D55" s="21">
        <f>SUBTOTAL(109,Table6[Actual Cost])</f>
        <v>0</v>
      </c>
      <c r="E55" s="24">
        <f>SUBTOTAL(109,Table6[Difference])</f>
        <v>0</v>
      </c>
      <c r="F55" s="15"/>
      <c r="G55" s="34" t="s">
        <v>55</v>
      </c>
      <c r="H55" s="34"/>
      <c r="I55" s="34"/>
      <c r="J55" s="35">
        <f>SUM(D24,D34,D41,D47,D55,D65,I23,I32,I39,I45,I51)</f>
        <v>0</v>
      </c>
    </row>
    <row r="56" spans="1:10" ht="15.75" customHeight="1" x14ac:dyDescent="0.2">
      <c r="A56" s="2"/>
      <c r="B56" s="31"/>
      <c r="C56" s="31"/>
      <c r="D56" s="31"/>
      <c r="E56" s="31"/>
      <c r="F56" s="15"/>
      <c r="G56" s="34"/>
      <c r="H56" s="34"/>
      <c r="I56" s="34"/>
      <c r="J56" s="35"/>
    </row>
    <row r="57" spans="1:10" ht="15.75" customHeight="1" x14ac:dyDescent="0.2">
      <c r="A57" s="2"/>
      <c r="B57" s="18" t="s">
        <v>51</v>
      </c>
      <c r="C57" s="19" t="s">
        <v>0</v>
      </c>
      <c r="D57" s="19" t="s">
        <v>1</v>
      </c>
      <c r="E57" s="20" t="s">
        <v>2</v>
      </c>
      <c r="F57" s="15"/>
      <c r="G57" s="34" t="s">
        <v>56</v>
      </c>
      <c r="H57" s="34"/>
      <c r="I57" s="34"/>
      <c r="J57" s="35">
        <f>SUM(E24,E34,E41,E47,E55,E65,J23,J32,J39,J45,J51)</f>
        <v>0</v>
      </c>
    </row>
    <row r="58" spans="1:10" ht="15.75" customHeight="1" x14ac:dyDescent="0.2">
      <c r="A58" s="2"/>
      <c r="B58" s="25" t="s">
        <v>20</v>
      </c>
      <c r="C58" s="21"/>
      <c r="D58" s="21"/>
      <c r="E58" s="22">
        <f>Table7[[#This Row],[Projected Cost]]-Table7[[#This Row],[Actual Cost]]</f>
        <v>0</v>
      </c>
      <c r="F58" s="15"/>
      <c r="G58" s="34"/>
      <c r="H58" s="34"/>
      <c r="I58" s="34"/>
      <c r="J58" s="35"/>
    </row>
    <row r="59" spans="1:10" ht="15.75" customHeight="1" x14ac:dyDescent="0.2">
      <c r="A59" s="2"/>
      <c r="B59" s="25" t="s">
        <v>23</v>
      </c>
      <c r="C59" s="21"/>
      <c r="D59" s="21"/>
      <c r="E59" s="22">
        <f>Table7[[#This Row],[Projected Cost]]-Table7[[#This Row],[Actual Cost]]</f>
        <v>0</v>
      </c>
      <c r="F59" s="14"/>
    </row>
    <row r="60" spans="1:10" ht="15.75" customHeight="1" x14ac:dyDescent="0.2">
      <c r="A60" s="2"/>
      <c r="B60" s="25" t="s">
        <v>22</v>
      </c>
      <c r="C60" s="21"/>
      <c r="D60" s="21"/>
      <c r="E60" s="22">
        <f>Table7[[#This Row],[Projected Cost]]-Table7[[#This Row],[Actual Cost]]</f>
        <v>0</v>
      </c>
      <c r="F60" s="14"/>
    </row>
    <row r="61" spans="1:10" ht="15.75" customHeight="1" x14ac:dyDescent="0.2">
      <c r="A61" s="2"/>
      <c r="B61" s="25" t="s">
        <v>28</v>
      </c>
      <c r="C61" s="21"/>
      <c r="D61" s="21"/>
      <c r="E61" s="22">
        <f>Table7[[#This Row],[Projected Cost]]-Table7[[#This Row],[Actual Cost]]</f>
        <v>0</v>
      </c>
      <c r="F61" s="14"/>
    </row>
    <row r="62" spans="1:10" ht="15.75" customHeight="1" x14ac:dyDescent="0.2">
      <c r="A62" s="2"/>
      <c r="B62" s="25" t="s">
        <v>65</v>
      </c>
      <c r="C62" s="21"/>
      <c r="D62" s="21"/>
      <c r="E62" s="22">
        <f>Table7[[#This Row],[Projected Cost]]-Table7[[#This Row],[Actual Cost]]</f>
        <v>0</v>
      </c>
      <c r="F62" s="14"/>
    </row>
    <row r="63" spans="1:10" ht="15.75" customHeight="1" x14ac:dyDescent="0.2">
      <c r="A63" s="2"/>
      <c r="B63" s="25" t="s">
        <v>32</v>
      </c>
      <c r="C63" s="21"/>
      <c r="D63" s="21"/>
      <c r="E63" s="22">
        <f>Table7[[#This Row],[Projected Cost]]-Table7[[#This Row],[Actual Cost]]</f>
        <v>0</v>
      </c>
      <c r="F63" s="14"/>
    </row>
    <row r="64" spans="1:10" ht="15.75" customHeight="1" x14ac:dyDescent="0.2">
      <c r="A64" s="2"/>
      <c r="B64" s="25" t="s">
        <v>10</v>
      </c>
      <c r="C64" s="21"/>
      <c r="D64" s="21"/>
      <c r="E64" s="22">
        <f>Table7[[#This Row],[Projected Cost]]-Table7[[#This Row],[Actual Cost]]</f>
        <v>0</v>
      </c>
      <c r="F64" s="14"/>
    </row>
    <row r="65" spans="1:6" ht="15.75" customHeight="1" x14ac:dyDescent="0.2">
      <c r="A65" s="2"/>
      <c r="B65" s="18" t="s">
        <v>57</v>
      </c>
      <c r="C65" s="21">
        <f>SUBTOTAL(109,Table7[Projected Cost])</f>
        <v>0</v>
      </c>
      <c r="D65" s="21">
        <f>SUBTOTAL(109,Table7[Actual Cost])</f>
        <v>0</v>
      </c>
      <c r="E65" s="24">
        <f>SUBTOTAL(109,Table7[Difference])</f>
        <v>0</v>
      </c>
      <c r="F65" s="14"/>
    </row>
    <row r="66" spans="1:6" ht="15.75" customHeight="1" x14ac:dyDescent="0.2">
      <c r="B66" t="s">
        <v>70</v>
      </c>
    </row>
  </sheetData>
  <mergeCells count="32">
    <mergeCell ref="J57:J58"/>
    <mergeCell ref="G57:I58"/>
    <mergeCell ref="J55:J56"/>
    <mergeCell ref="G55:I56"/>
    <mergeCell ref="G53:I54"/>
    <mergeCell ref="J53:J54"/>
    <mergeCell ref="B2:J2"/>
    <mergeCell ref="G10:I11"/>
    <mergeCell ref="J10:J11"/>
    <mergeCell ref="C7:D7"/>
    <mergeCell ref="C8:D8"/>
    <mergeCell ref="C10:D10"/>
    <mergeCell ref="C11:D11"/>
    <mergeCell ref="B8:B11"/>
    <mergeCell ref="B4:B7"/>
    <mergeCell ref="B3:D3"/>
    <mergeCell ref="C4:D4"/>
    <mergeCell ref="C5:D5"/>
    <mergeCell ref="G4:I6"/>
    <mergeCell ref="J4:J6"/>
    <mergeCell ref="G7:I9"/>
    <mergeCell ref="J7:J9"/>
    <mergeCell ref="B56:E56"/>
    <mergeCell ref="G24:J24"/>
    <mergeCell ref="G33:J33"/>
    <mergeCell ref="G40:J40"/>
    <mergeCell ref="G46:J46"/>
    <mergeCell ref="G52:J52"/>
    <mergeCell ref="B25:E25"/>
    <mergeCell ref="B35:E35"/>
    <mergeCell ref="B42:E42"/>
    <mergeCell ref="B48:E48"/>
  </mergeCells>
  <phoneticPr fontId="1" type="noConversion"/>
  <conditionalFormatting sqref="E14:E24 E27:E34 E37:E41 E44:E47 E50:E55 E58:E65 J14:J23 J26:J32 J35:J39 J42:J45 J48:J51">
    <cfRule type="iconSet" priority="2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52DAF-A3AA-4C7C-B11A-E796983B195D}">
  <sheetPr>
    <pageSetUpPr autoPageBreaks="0" fitToPage="1"/>
  </sheetPr>
  <dimension ref="A1:J66"/>
  <sheetViews>
    <sheetView showGridLines="0" topLeftCell="A37" workbookViewId="0">
      <selection activeCell="D54" sqref="D54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3" t="s">
        <v>34</v>
      </c>
      <c r="C2" s="33"/>
      <c r="D2" s="33"/>
      <c r="E2" s="33"/>
      <c r="F2" s="33"/>
      <c r="G2" s="33"/>
      <c r="H2" s="33"/>
      <c r="I2" s="33"/>
      <c r="J2" s="33"/>
    </row>
    <row r="3" spans="1:10" ht="8.1" customHeight="1" x14ac:dyDescent="0.2">
      <c r="A3" s="2"/>
      <c r="B3" s="43"/>
      <c r="C3" s="43"/>
      <c r="D3" s="43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40" t="s">
        <v>53</v>
      </c>
      <c r="C4" s="38" t="s">
        <v>68</v>
      </c>
      <c r="D4" s="39"/>
      <c r="E4" s="17">
        <v>0</v>
      </c>
      <c r="F4" s="5"/>
      <c r="G4" s="44" t="s">
        <v>58</v>
      </c>
      <c r="H4" s="45"/>
      <c r="I4" s="46"/>
      <c r="J4" s="53">
        <f>E7-J53</f>
        <v>0</v>
      </c>
    </row>
    <row r="5" spans="1:10" ht="15.95" customHeight="1" x14ac:dyDescent="0.2">
      <c r="A5" s="2"/>
      <c r="B5" s="41"/>
      <c r="C5" s="38" t="s">
        <v>69</v>
      </c>
      <c r="D5" s="39"/>
      <c r="E5" s="17">
        <v>0</v>
      </c>
      <c r="F5" s="5"/>
      <c r="G5" s="47"/>
      <c r="H5" s="48"/>
      <c r="I5" s="49"/>
      <c r="J5" s="54"/>
    </row>
    <row r="6" spans="1:10" ht="15.95" customHeight="1" x14ac:dyDescent="0.2">
      <c r="A6" s="2"/>
      <c r="B6" s="41"/>
      <c r="C6" s="27" t="s">
        <v>10</v>
      </c>
      <c r="D6" s="28"/>
      <c r="E6" s="17">
        <v>0</v>
      </c>
      <c r="F6" s="5"/>
      <c r="G6" s="50"/>
      <c r="H6" s="51"/>
      <c r="I6" s="52"/>
      <c r="J6" s="55"/>
    </row>
    <row r="7" spans="1:10" ht="15.95" customHeight="1" x14ac:dyDescent="0.2">
      <c r="A7" s="2"/>
      <c r="B7" s="42"/>
      <c r="C7" s="36" t="s">
        <v>35</v>
      </c>
      <c r="D7" s="37"/>
      <c r="E7" s="30">
        <f>SUM(E4:E6)</f>
        <v>0</v>
      </c>
      <c r="F7" s="5"/>
      <c r="G7" s="44" t="s">
        <v>59</v>
      </c>
      <c r="H7" s="45"/>
      <c r="I7" s="46"/>
      <c r="J7" s="53">
        <f>E11-J55</f>
        <v>0</v>
      </c>
    </row>
    <row r="8" spans="1:10" ht="15.95" customHeight="1" x14ac:dyDescent="0.2">
      <c r="A8" s="2"/>
      <c r="B8" s="40" t="s">
        <v>52</v>
      </c>
      <c r="C8" s="38" t="s">
        <v>68</v>
      </c>
      <c r="D8" s="39"/>
      <c r="E8" s="17">
        <v>0</v>
      </c>
      <c r="F8" s="5"/>
      <c r="G8" s="47"/>
      <c r="H8" s="48"/>
      <c r="I8" s="49"/>
      <c r="J8" s="54"/>
    </row>
    <row r="9" spans="1:10" ht="15.95" customHeight="1" x14ac:dyDescent="0.2">
      <c r="A9" s="2"/>
      <c r="B9" s="41"/>
      <c r="C9" s="27" t="s">
        <v>69</v>
      </c>
      <c r="D9" s="28"/>
      <c r="E9" s="17">
        <v>0</v>
      </c>
      <c r="F9" s="5"/>
      <c r="G9" s="50"/>
      <c r="H9" s="51"/>
      <c r="I9" s="52"/>
      <c r="J9" s="55"/>
    </row>
    <row r="10" spans="1:10" ht="15.95" customHeight="1" x14ac:dyDescent="0.2">
      <c r="A10" s="2"/>
      <c r="B10" s="41"/>
      <c r="C10" s="38" t="s">
        <v>10</v>
      </c>
      <c r="D10" s="39"/>
      <c r="E10" s="17">
        <v>0</v>
      </c>
      <c r="F10" s="5"/>
      <c r="G10" s="34" t="s">
        <v>60</v>
      </c>
      <c r="H10" s="34"/>
      <c r="I10" s="34"/>
      <c r="J10" s="35">
        <f>J7-J4</f>
        <v>0</v>
      </c>
    </row>
    <row r="11" spans="1:10" ht="15.95" customHeight="1" x14ac:dyDescent="0.2">
      <c r="A11" s="2"/>
      <c r="B11" s="42"/>
      <c r="C11" s="36" t="s">
        <v>35</v>
      </c>
      <c r="D11" s="37"/>
      <c r="E11" s="30">
        <f>SUM(E8:E10)</f>
        <v>0</v>
      </c>
      <c r="F11" s="5"/>
      <c r="G11" s="34"/>
      <c r="H11" s="34"/>
      <c r="I11" s="34"/>
      <c r="J11" s="35"/>
    </row>
    <row r="12" spans="1:10" ht="15.95" customHeight="1" x14ac:dyDescent="0.2">
      <c r="A12" s="2"/>
      <c r="B12" s="29"/>
      <c r="C12" s="29"/>
      <c r="D12" s="10"/>
      <c r="E12" s="11"/>
      <c r="F12" s="5"/>
      <c r="G12" s="12"/>
      <c r="H12" s="12"/>
      <c r="I12" s="12"/>
      <c r="J12" s="13"/>
    </row>
    <row r="13" spans="1:10" ht="15.95" customHeight="1" x14ac:dyDescent="0.2">
      <c r="A13" s="2"/>
      <c r="B13" s="18" t="s">
        <v>43</v>
      </c>
      <c r="C13" s="19" t="s">
        <v>0</v>
      </c>
      <c r="D13" s="19" t="s">
        <v>1</v>
      </c>
      <c r="E13" s="20" t="s">
        <v>2</v>
      </c>
      <c r="F13" s="16"/>
      <c r="G13" s="18" t="s">
        <v>44</v>
      </c>
      <c r="H13" s="19" t="s">
        <v>0</v>
      </c>
      <c r="I13" s="19" t="s">
        <v>1</v>
      </c>
      <c r="J13" s="20" t="s">
        <v>2</v>
      </c>
    </row>
    <row r="14" spans="1:10" ht="15.75" customHeight="1" x14ac:dyDescent="0.2">
      <c r="A14" s="2"/>
      <c r="B14" s="25" t="s">
        <v>62</v>
      </c>
      <c r="C14" s="21"/>
      <c r="D14" s="21"/>
      <c r="E14" s="22">
        <f>Table1134145156167178200222[[#This Row],[Projected Cost]]-Table1134145156167178200222[[#This Row],[Actual Cost]]</f>
        <v>0</v>
      </c>
      <c r="F14" s="26"/>
      <c r="G14" s="25" t="s">
        <v>66</v>
      </c>
      <c r="H14" s="21"/>
      <c r="I14" s="21"/>
      <c r="J14" s="22">
        <f>Table2144155166177188210232[[#This Row],[Projected Cost]]-Table2144155166177188210232[[#This Row],[Actual Cost]]</f>
        <v>0</v>
      </c>
    </row>
    <row r="15" spans="1:10" ht="15.75" customHeight="1" x14ac:dyDescent="0.2">
      <c r="A15" s="2"/>
      <c r="B15" s="25" t="s">
        <v>3</v>
      </c>
      <c r="C15" s="21"/>
      <c r="D15" s="21"/>
      <c r="E15" s="22">
        <f>Table1134145156167178200222[[#This Row],[Projected Cost]]-Table1134145156167178200222[[#This Row],[Actual Cost]]</f>
        <v>0</v>
      </c>
      <c r="F15" s="26"/>
      <c r="G15" s="25" t="s">
        <v>61</v>
      </c>
      <c r="H15" s="21"/>
      <c r="I15" s="21"/>
      <c r="J15" s="22">
        <f>Table2144155166177188210232[[#This Row],[Projected Cost]]-Table2144155166177188210232[[#This Row],[Actual Cost]]</f>
        <v>0</v>
      </c>
    </row>
    <row r="16" spans="1:10" ht="15.75" customHeight="1" x14ac:dyDescent="0.2">
      <c r="A16" s="2"/>
      <c r="B16" s="25" t="s">
        <v>37</v>
      </c>
      <c r="C16" s="21"/>
      <c r="D16" s="21"/>
      <c r="E16" s="22">
        <f>Table1134145156167178200222[[#This Row],[Projected Cost]]-Table1134145156167178200222[[#This Row],[Actual Cost]]</f>
        <v>0</v>
      </c>
      <c r="F16" s="26"/>
      <c r="G16" s="25" t="s">
        <v>25</v>
      </c>
      <c r="H16" s="21"/>
      <c r="I16" s="21"/>
      <c r="J16" s="22">
        <f>Table2144155166177188210232[[#This Row],[Projected Cost]]-Table2144155166177188210232[[#This Row],[Actual Cost]]</f>
        <v>0</v>
      </c>
    </row>
    <row r="17" spans="1:10" ht="15.75" customHeight="1" x14ac:dyDescent="0.2">
      <c r="A17" s="2"/>
      <c r="B17" s="25" t="s">
        <v>4</v>
      </c>
      <c r="C17" s="21"/>
      <c r="D17" s="21"/>
      <c r="E17" s="22">
        <f>Table1134145156167178200222[[#This Row],[Projected Cost]]-Table1134145156167178200222[[#This Row],[Actual Cost]]</f>
        <v>0</v>
      </c>
      <c r="F17" s="26"/>
      <c r="G17" s="25" t="s">
        <v>26</v>
      </c>
      <c r="H17" s="21"/>
      <c r="I17" s="21"/>
      <c r="J17" s="22">
        <f>Table2144155166177188210232[[#This Row],[Projected Cost]]-Table2144155166177188210232[[#This Row],[Actual Cost]]</f>
        <v>0</v>
      </c>
    </row>
    <row r="18" spans="1:10" ht="15.75" customHeight="1" x14ac:dyDescent="0.2">
      <c r="A18" s="2"/>
      <c r="B18" s="25" t="s">
        <v>5</v>
      </c>
      <c r="C18" s="21"/>
      <c r="D18" s="21"/>
      <c r="E18" s="22">
        <f>Table1134145156167178200222[[#This Row],[Projected Cost]]-Table1134145156167178200222[[#This Row],[Actual Cost]]</f>
        <v>0</v>
      </c>
      <c r="F18" s="26"/>
      <c r="G18" s="25" t="s">
        <v>39</v>
      </c>
      <c r="H18" s="21"/>
      <c r="I18" s="21"/>
      <c r="J18" s="22">
        <f>Table2144155166177188210232[[#This Row],[Projected Cost]]-Table2144155166177188210232[[#This Row],[Actual Cost]]</f>
        <v>0</v>
      </c>
    </row>
    <row r="19" spans="1:10" ht="15.75" customHeight="1" x14ac:dyDescent="0.2">
      <c r="A19" s="2"/>
      <c r="B19" s="25" t="s">
        <v>6</v>
      </c>
      <c r="C19" s="21"/>
      <c r="D19" s="21"/>
      <c r="E19" s="22">
        <f>Table1134145156167178200222[[#This Row],[Projected Cost]]-Table1134145156167178200222[[#This Row],[Actual Cost]]</f>
        <v>0</v>
      </c>
      <c r="F19" s="26"/>
      <c r="G19" s="25" t="s">
        <v>27</v>
      </c>
      <c r="H19" s="21"/>
      <c r="I19" s="21"/>
      <c r="J19" s="22">
        <f>Table2144155166177188210232[[#This Row],[Projected Cost]]-Table2144155166177188210232[[#This Row],[Actual Cost]]</f>
        <v>0</v>
      </c>
    </row>
    <row r="20" spans="1:10" ht="15.75" customHeight="1" x14ac:dyDescent="0.2">
      <c r="A20" s="2"/>
      <c r="B20" s="25" t="s">
        <v>7</v>
      </c>
      <c r="C20" s="21"/>
      <c r="D20" s="21"/>
      <c r="E20" s="22">
        <f>Table1134145156167178200222[[#This Row],[Projected Cost]]-Table1134145156167178200222[[#This Row],[Actual Cost]]</f>
        <v>0</v>
      </c>
      <c r="F20" s="26"/>
      <c r="G20" s="25" t="s">
        <v>10</v>
      </c>
      <c r="H20" s="21"/>
      <c r="I20" s="21"/>
      <c r="J20" s="22">
        <f>Table2144155166177188210232[[#This Row],[Projected Cost]]-Table2144155166177188210232[[#This Row],[Actual Cost]]</f>
        <v>0</v>
      </c>
    </row>
    <row r="21" spans="1:10" ht="15.75" customHeight="1" x14ac:dyDescent="0.2">
      <c r="A21" s="2"/>
      <c r="B21" s="25" t="s">
        <v>8</v>
      </c>
      <c r="C21" s="21"/>
      <c r="D21" s="21"/>
      <c r="E21" s="22">
        <f>Table1134145156167178200222[[#This Row],[Projected Cost]]-Table1134145156167178200222[[#This Row],[Actual Cost]]</f>
        <v>0</v>
      </c>
      <c r="F21" s="26"/>
      <c r="G21" s="25" t="s">
        <v>10</v>
      </c>
      <c r="H21" s="21"/>
      <c r="I21" s="21"/>
      <c r="J21" s="22">
        <f>Table2144155166177188210232[[#This Row],[Projected Cost]]-Table2144155166177188210232[[#This Row],[Actual Cost]]</f>
        <v>0</v>
      </c>
    </row>
    <row r="22" spans="1:10" ht="15.75" customHeight="1" x14ac:dyDescent="0.2">
      <c r="A22" s="2"/>
      <c r="B22" s="25" t="s">
        <v>9</v>
      </c>
      <c r="C22" s="21"/>
      <c r="D22" s="21"/>
      <c r="E22" s="22">
        <f>Table1134145156167178200222[[#This Row],[Projected Cost]]-Table1134145156167178200222[[#This Row],[Actual Cost]]</f>
        <v>0</v>
      </c>
      <c r="F22" s="26"/>
      <c r="G22" s="25" t="s">
        <v>10</v>
      </c>
      <c r="H22" s="21"/>
      <c r="I22" s="21"/>
      <c r="J22" s="22">
        <f>Table2144155166177188210232[[#This Row],[Projected Cost]]-Table2144155166177188210232[[#This Row],[Actual Cost]]</f>
        <v>0</v>
      </c>
    </row>
    <row r="23" spans="1:10" ht="15.75" customHeight="1" x14ac:dyDescent="0.2">
      <c r="A23" s="2"/>
      <c r="B23" s="25" t="s">
        <v>10</v>
      </c>
      <c r="C23" s="21"/>
      <c r="D23" s="21"/>
      <c r="E23" s="22">
        <f>Table1134145156167178200222[[#This Row],[Projected Cost]]-Table1134145156167178200222[[#This Row],[Actual Cost]]</f>
        <v>0</v>
      </c>
      <c r="F23" s="26"/>
      <c r="G23" s="18" t="s">
        <v>57</v>
      </c>
      <c r="H23" s="23">
        <f>SUBTOTAL(109,Table2144155166177188210232[Projected Cost])</f>
        <v>0</v>
      </c>
      <c r="I23" s="21">
        <f>SUBTOTAL(109,Table2144155166177188210232[Actual Cost])</f>
        <v>0</v>
      </c>
      <c r="J23" s="24">
        <f>SUBTOTAL(109,Table2144155166177188210232[Difference])</f>
        <v>0</v>
      </c>
    </row>
    <row r="24" spans="1:10" ht="15.75" customHeight="1" x14ac:dyDescent="0.2">
      <c r="A24" s="2"/>
      <c r="B24" s="18" t="s">
        <v>57</v>
      </c>
      <c r="C24" s="21">
        <f>SUBTOTAL(109,Table1134145156167178200222[Projected Cost])</f>
        <v>0</v>
      </c>
      <c r="D24" s="21">
        <f>SUBTOTAL(109,Table1134145156167178200222[Actual Cost])</f>
        <v>0</v>
      </c>
      <c r="E24" s="24">
        <f>SUBTOTAL(109,Table1134145156167178200222[Difference])</f>
        <v>0</v>
      </c>
      <c r="F24" s="26"/>
      <c r="G24" s="32"/>
      <c r="H24" s="32"/>
      <c r="I24" s="32"/>
      <c r="J24" s="32"/>
    </row>
    <row r="25" spans="1:10" ht="15.75" customHeight="1" x14ac:dyDescent="0.2">
      <c r="A25" s="2"/>
      <c r="B25" s="31"/>
      <c r="C25" s="31"/>
      <c r="D25" s="31"/>
      <c r="E25" s="31"/>
      <c r="F25" s="26"/>
      <c r="G25" s="18" t="s">
        <v>67</v>
      </c>
      <c r="H25" s="19" t="s">
        <v>0</v>
      </c>
      <c r="I25" s="19" t="s">
        <v>1</v>
      </c>
      <c r="J25" s="20" t="s">
        <v>2</v>
      </c>
    </row>
    <row r="26" spans="1:10" ht="15.75" customHeight="1" x14ac:dyDescent="0.2">
      <c r="A26" s="2"/>
      <c r="B26" s="18" t="s">
        <v>45</v>
      </c>
      <c r="C26" s="19" t="s">
        <v>0</v>
      </c>
      <c r="D26" s="19" t="s">
        <v>1</v>
      </c>
      <c r="E26" s="20" t="s">
        <v>2</v>
      </c>
      <c r="F26" s="26"/>
      <c r="G26" s="25" t="s">
        <v>29</v>
      </c>
      <c r="H26" s="21"/>
      <c r="I26" s="21"/>
      <c r="J26" s="22">
        <f>Table8141152163174185207229[[#This Row],[Projected Cost]]-Table8141152163174185207229[[#This Row],[Actual Cost]]</f>
        <v>0</v>
      </c>
    </row>
    <row r="27" spans="1:10" ht="15.75" customHeight="1" x14ac:dyDescent="0.2">
      <c r="A27" s="2"/>
      <c r="B27" s="25" t="s">
        <v>38</v>
      </c>
      <c r="C27" s="21"/>
      <c r="D27" s="21"/>
      <c r="E27" s="22">
        <f>Table3140151162173184206228[[#This Row],[Projected Cost]]-Table3140151162173184206228[[#This Row],[Actual Cost]]</f>
        <v>0</v>
      </c>
      <c r="F27" s="26"/>
      <c r="G27" s="25" t="s">
        <v>33</v>
      </c>
      <c r="H27" s="21"/>
      <c r="I27" s="21"/>
      <c r="J27" s="22">
        <f>Table8141152163174185207229[[#This Row],[Projected Cost]]-Table8141152163174185207229[[#This Row],[Actual Cost]]</f>
        <v>0</v>
      </c>
    </row>
    <row r="28" spans="1:10" ht="15.75" customHeight="1" x14ac:dyDescent="0.2">
      <c r="A28" s="2"/>
      <c r="B28" s="25" t="s">
        <v>63</v>
      </c>
      <c r="C28" s="21"/>
      <c r="D28" s="21"/>
      <c r="E28" s="22">
        <f>Table3140151162173184206228[[#This Row],[Projected Cost]]-Table3140151162173184206228[[#This Row],[Actual Cost]]</f>
        <v>0</v>
      </c>
      <c r="F28" s="26"/>
      <c r="G28" s="25" t="s">
        <v>40</v>
      </c>
      <c r="H28" s="21"/>
      <c r="I28" s="21"/>
      <c r="J28" s="22">
        <f>Table8141152163174185207229[[#This Row],[Projected Cost]]-Table8141152163174185207229[[#This Row],[Actual Cost]]</f>
        <v>0</v>
      </c>
    </row>
    <row r="29" spans="1:10" ht="15.75" customHeight="1" x14ac:dyDescent="0.2">
      <c r="A29" s="2"/>
      <c r="B29" s="25" t="s">
        <v>11</v>
      </c>
      <c r="C29" s="21"/>
      <c r="D29" s="21"/>
      <c r="E29" s="22">
        <f>Table3140151162173184206228[[#This Row],[Projected Cost]]-Table3140151162173184206228[[#This Row],[Actual Cost]]</f>
        <v>0</v>
      </c>
      <c r="F29" s="26"/>
      <c r="G29" s="25" t="s">
        <v>40</v>
      </c>
      <c r="H29" s="21"/>
      <c r="I29" s="21"/>
      <c r="J29" s="22">
        <f>Table8141152163174185207229[[#This Row],[Projected Cost]]-Table8141152163174185207229[[#This Row],[Actual Cost]]</f>
        <v>0</v>
      </c>
    </row>
    <row r="30" spans="1:10" ht="15.75" customHeight="1" x14ac:dyDescent="0.2">
      <c r="A30" s="2"/>
      <c r="B30" s="25" t="s">
        <v>12</v>
      </c>
      <c r="C30" s="21"/>
      <c r="D30" s="21"/>
      <c r="E30" s="22">
        <f>Table3140151162173184206228[[#This Row],[Projected Cost]]-Table3140151162173184206228[[#This Row],[Actual Cost]]</f>
        <v>0</v>
      </c>
      <c r="F30" s="26"/>
      <c r="G30" s="25" t="s">
        <v>40</v>
      </c>
      <c r="H30" s="21"/>
      <c r="I30" s="21"/>
      <c r="J30" s="22">
        <f>Table8141152163174185207229[[#This Row],[Projected Cost]]-Table8141152163174185207229[[#This Row],[Actual Cost]]</f>
        <v>0</v>
      </c>
    </row>
    <row r="31" spans="1:10" ht="15.75" customHeight="1" x14ac:dyDescent="0.2">
      <c r="A31" s="2"/>
      <c r="B31" s="25" t="s">
        <v>13</v>
      </c>
      <c r="C31" s="21"/>
      <c r="D31" s="21"/>
      <c r="E31" s="22">
        <f>Table3140151162173184206228[[#This Row],[Projected Cost]]-Table3140151162173184206228[[#This Row],[Actual Cost]]</f>
        <v>0</v>
      </c>
      <c r="F31" s="26"/>
      <c r="G31" s="25" t="s">
        <v>10</v>
      </c>
      <c r="H31" s="21"/>
      <c r="I31" s="21"/>
      <c r="J31" s="22">
        <f>Table8141152163174185207229[[#This Row],[Projected Cost]]-Table8141152163174185207229[[#This Row],[Actual Cost]]</f>
        <v>0</v>
      </c>
    </row>
    <row r="32" spans="1:10" ht="15.75" customHeight="1" x14ac:dyDescent="0.2">
      <c r="A32" s="2"/>
      <c r="B32" s="25" t="s">
        <v>14</v>
      </c>
      <c r="C32" s="21"/>
      <c r="D32" s="21"/>
      <c r="E32" s="22">
        <f>Table3140151162173184206228[[#This Row],[Projected Cost]]-Table3140151162173184206228[[#This Row],[Actual Cost]]</f>
        <v>0</v>
      </c>
      <c r="F32" s="26"/>
      <c r="G32" s="18" t="s">
        <v>57</v>
      </c>
      <c r="H32" s="21">
        <f>SUBTOTAL(109,Table8141152163174185207229[Projected Cost])</f>
        <v>0</v>
      </c>
      <c r="I32" s="21">
        <f>SUBTOTAL(109,Table8141152163174185207229[Actual Cost])</f>
        <v>0</v>
      </c>
      <c r="J32" s="24">
        <f>SUBTOTAL(109,Table8141152163174185207229[Difference])</f>
        <v>0</v>
      </c>
    </row>
    <row r="33" spans="1:10" ht="15.75" customHeight="1" x14ac:dyDescent="0.2">
      <c r="A33" s="2"/>
      <c r="B33" s="25" t="s">
        <v>10</v>
      </c>
      <c r="C33" s="21"/>
      <c r="D33" s="21"/>
      <c r="E33" s="22">
        <f>Table3140151162173184206228[[#This Row],[Projected Cost]]-Table3140151162173184206228[[#This Row],[Actual Cost]]</f>
        <v>0</v>
      </c>
      <c r="F33" s="26"/>
      <c r="G33" s="31"/>
      <c r="H33" s="31"/>
      <c r="I33" s="31"/>
      <c r="J33" s="31"/>
    </row>
    <row r="34" spans="1:10" ht="15.75" customHeight="1" x14ac:dyDescent="0.2">
      <c r="A34" s="2"/>
      <c r="B34" s="18" t="s">
        <v>57</v>
      </c>
      <c r="C34" s="21">
        <f>SUBTOTAL(109,Table3140151162173184206228[Projected Cost])</f>
        <v>0</v>
      </c>
      <c r="D34" s="21">
        <f>SUBTOTAL(109,Table3140151162173184206228[Actual Cost])</f>
        <v>0</v>
      </c>
      <c r="E34" s="24">
        <f>SUBTOTAL(109,Table3140151162173184206228[Difference])</f>
        <v>0</v>
      </c>
      <c r="F34" s="26"/>
      <c r="G34" s="18" t="s">
        <v>10</v>
      </c>
      <c r="H34" s="19" t="s">
        <v>0</v>
      </c>
      <c r="I34" s="19" t="s">
        <v>1</v>
      </c>
      <c r="J34" s="20" t="s">
        <v>2</v>
      </c>
    </row>
    <row r="35" spans="1:10" ht="15.75" customHeight="1" x14ac:dyDescent="0.2">
      <c r="A35" s="2"/>
      <c r="B35" s="31"/>
      <c r="C35" s="31"/>
      <c r="D35" s="31"/>
      <c r="E35" s="31"/>
      <c r="F35" s="26"/>
      <c r="G35" s="25" t="s">
        <v>10</v>
      </c>
      <c r="H35" s="21"/>
      <c r="I35" s="21"/>
      <c r="J35" s="22">
        <f>Table9139150161172183205227[[#This Row],[Projected Cost]]-Table9139150161172183205227[[#This Row],[Actual Cost]]</f>
        <v>0</v>
      </c>
    </row>
    <row r="36" spans="1:10" ht="15.75" customHeight="1" x14ac:dyDescent="0.2">
      <c r="A36" s="2"/>
      <c r="B36" s="18" t="s">
        <v>46</v>
      </c>
      <c r="C36" s="19" t="s">
        <v>0</v>
      </c>
      <c r="D36" s="19" t="s">
        <v>1</v>
      </c>
      <c r="E36" s="20" t="s">
        <v>2</v>
      </c>
      <c r="F36" s="26"/>
      <c r="G36" s="25" t="s">
        <v>10</v>
      </c>
      <c r="H36" s="21"/>
      <c r="I36" s="21"/>
      <c r="J36" s="22">
        <f>Table9139150161172183205227[[#This Row],[Projected Cost]]-Table9139150161172183205227[[#This Row],[Actual Cost]]</f>
        <v>0</v>
      </c>
    </row>
    <row r="37" spans="1:10" ht="15.75" customHeight="1" x14ac:dyDescent="0.2">
      <c r="A37" s="2"/>
      <c r="B37" s="25" t="s">
        <v>64</v>
      </c>
      <c r="C37" s="21"/>
      <c r="D37" s="21"/>
      <c r="E37" s="22">
        <f>Table4135146157168179201223[[#This Row],[Projected Cost]]-Table4135146157168179201223[[#This Row],[Actual Cost]]</f>
        <v>0</v>
      </c>
      <c r="F37" s="26"/>
      <c r="G37" s="25" t="s">
        <v>10</v>
      </c>
      <c r="H37" s="21"/>
      <c r="I37" s="21"/>
      <c r="J37" s="22">
        <f>Table9139150161172183205227[[#This Row],[Projected Cost]]-Table9139150161172183205227[[#This Row],[Actual Cost]]</f>
        <v>0</v>
      </c>
    </row>
    <row r="38" spans="1:10" ht="15.75" customHeight="1" x14ac:dyDescent="0.2">
      <c r="A38" s="2"/>
      <c r="B38" s="25" t="s">
        <v>15</v>
      </c>
      <c r="C38" s="21"/>
      <c r="D38" s="21"/>
      <c r="E38" s="22">
        <f>Table4135146157168179201223[[#This Row],[Projected Cost]]-Table4135146157168179201223[[#This Row],[Actual Cost]]</f>
        <v>0</v>
      </c>
      <c r="F38" s="26"/>
      <c r="G38" s="25" t="s">
        <v>10</v>
      </c>
      <c r="H38" s="21"/>
      <c r="I38" s="21"/>
      <c r="J38" s="22">
        <f>Table9139150161172183205227[[#This Row],[Projected Cost]]-Table9139150161172183205227[[#This Row],[Actual Cost]]</f>
        <v>0</v>
      </c>
    </row>
    <row r="39" spans="1:10" ht="15.75" customHeight="1" x14ac:dyDescent="0.2">
      <c r="A39" s="2"/>
      <c r="B39" s="25" t="s">
        <v>16</v>
      </c>
      <c r="C39" s="21"/>
      <c r="D39" s="21"/>
      <c r="E39" s="22">
        <f>Table4135146157168179201223[[#This Row],[Projected Cost]]-Table4135146157168179201223[[#This Row],[Actual Cost]]</f>
        <v>0</v>
      </c>
      <c r="F39" s="26"/>
      <c r="G39" s="18" t="s">
        <v>57</v>
      </c>
      <c r="H39" s="21">
        <f>SUBTOTAL(109,Table9139150161172183205227[Projected Cost])</f>
        <v>0</v>
      </c>
      <c r="I39" s="21">
        <f>SUBTOTAL(109,Table9139150161172183205227[Actual Cost])</f>
        <v>0</v>
      </c>
      <c r="J39" s="24">
        <f>SUBTOTAL(109,Table9139150161172183205227[Difference])</f>
        <v>0</v>
      </c>
    </row>
    <row r="40" spans="1:10" ht="15.75" customHeight="1" x14ac:dyDescent="0.2">
      <c r="A40" s="2"/>
      <c r="B40" s="25" t="s">
        <v>10</v>
      </c>
      <c r="C40" s="21"/>
      <c r="D40" s="21"/>
      <c r="E40" s="22">
        <f>Table4135146157168179201223[[#This Row],[Projected Cost]]-Table4135146157168179201223[[#This Row],[Actual Cost]]</f>
        <v>0</v>
      </c>
      <c r="F40" s="26"/>
      <c r="G40" s="31"/>
      <c r="H40" s="31"/>
      <c r="I40" s="31"/>
      <c r="J40" s="31"/>
    </row>
    <row r="41" spans="1:10" ht="15.75" customHeight="1" x14ac:dyDescent="0.2">
      <c r="A41" s="2"/>
      <c r="B41" s="18" t="s">
        <v>57</v>
      </c>
      <c r="C41" s="21">
        <f>SUBTOTAL(109,Table4135146157168179201223[Projected Cost])</f>
        <v>0</v>
      </c>
      <c r="D41" s="21">
        <f>SUBTOTAL(109,Table4135146157168179201223[Actual Cost])</f>
        <v>0</v>
      </c>
      <c r="E41" s="24">
        <f>SUBTOTAL(109,Table4135146157168179201223[Difference])</f>
        <v>0</v>
      </c>
      <c r="F41" s="26"/>
      <c r="G41" s="18" t="s">
        <v>48</v>
      </c>
      <c r="H41" s="19" t="s">
        <v>0</v>
      </c>
      <c r="I41" s="19" t="s">
        <v>1</v>
      </c>
      <c r="J41" s="20" t="s">
        <v>2</v>
      </c>
    </row>
    <row r="42" spans="1:10" ht="15.75" customHeight="1" x14ac:dyDescent="0.2">
      <c r="A42" s="2"/>
      <c r="B42" s="31"/>
      <c r="C42" s="31"/>
      <c r="D42" s="31"/>
      <c r="E42" s="31"/>
      <c r="F42" s="26"/>
      <c r="G42" s="25" t="s">
        <v>41</v>
      </c>
      <c r="H42" s="21"/>
      <c r="I42" s="21"/>
      <c r="J42" s="22">
        <f>Table10142153164175186208230[[#This Row],[Projected Cost]]-Table10142153164175186208230[[#This Row],[Actual Cost]]</f>
        <v>0</v>
      </c>
    </row>
    <row r="43" spans="1:10" ht="15.75" customHeight="1" x14ac:dyDescent="0.2">
      <c r="A43" s="2"/>
      <c r="B43" s="18" t="s">
        <v>47</v>
      </c>
      <c r="C43" s="19" t="s">
        <v>0</v>
      </c>
      <c r="D43" s="19" t="s">
        <v>1</v>
      </c>
      <c r="E43" s="20" t="s">
        <v>2</v>
      </c>
      <c r="F43" s="26"/>
      <c r="G43" s="25" t="s">
        <v>42</v>
      </c>
      <c r="H43" s="21"/>
      <c r="I43" s="21"/>
      <c r="J43" s="22">
        <f>Table10142153164175186208230[[#This Row],[Projected Cost]]-Table10142153164175186208230[[#This Row],[Actual Cost]]</f>
        <v>0</v>
      </c>
    </row>
    <row r="44" spans="1:10" ht="15.75" customHeight="1" x14ac:dyDescent="0.2">
      <c r="A44" s="2"/>
      <c r="B44" s="25" t="s">
        <v>17</v>
      </c>
      <c r="C44" s="21"/>
      <c r="D44" s="21"/>
      <c r="E44" s="22">
        <f>Table5138149160171182204226[[#This Row],[Projected Cost]]-Table5138149160171182204226[[#This Row],[Actual Cost]]</f>
        <v>0</v>
      </c>
      <c r="F44" s="26"/>
      <c r="G44" s="25" t="s">
        <v>10</v>
      </c>
      <c r="H44" s="21"/>
      <c r="I44" s="21"/>
      <c r="J44" s="22">
        <f>Table10142153164175186208230[[#This Row],[Projected Cost]]-Table10142153164175186208230[[#This Row],[Actual Cost]]</f>
        <v>0</v>
      </c>
    </row>
    <row r="45" spans="1:10" ht="15.75" customHeight="1" x14ac:dyDescent="0.2">
      <c r="A45" s="2"/>
      <c r="B45" s="25" t="s">
        <v>24</v>
      </c>
      <c r="C45" s="21"/>
      <c r="D45" s="21"/>
      <c r="E45" s="22">
        <f>Table5138149160171182204226[[#This Row],[Projected Cost]]-Table5138149160171182204226[[#This Row],[Actual Cost]]</f>
        <v>0</v>
      </c>
      <c r="F45" s="26"/>
      <c r="G45" s="18" t="s">
        <v>57</v>
      </c>
      <c r="H45" s="21">
        <f>SUBTOTAL(109,Table10142153164175186208230[Projected Cost])</f>
        <v>0</v>
      </c>
      <c r="I45" s="21">
        <f>SUBTOTAL(109,Table10142153164175186208230[Actual Cost])</f>
        <v>0</v>
      </c>
      <c r="J45" s="24">
        <f>SUBTOTAL(109,Table10142153164175186208230[Difference])</f>
        <v>0</v>
      </c>
    </row>
    <row r="46" spans="1:10" ht="15.75" customHeight="1" x14ac:dyDescent="0.2">
      <c r="A46" s="2"/>
      <c r="B46" s="25" t="s">
        <v>10</v>
      </c>
      <c r="C46" s="21"/>
      <c r="D46" s="21"/>
      <c r="E46" s="22">
        <f>Table5138149160171182204226[[#This Row],[Projected Cost]]-Table5138149160171182204226[[#This Row],[Actual Cost]]</f>
        <v>0</v>
      </c>
      <c r="F46" s="26"/>
      <c r="G46" s="31"/>
      <c r="H46" s="31"/>
      <c r="I46" s="31"/>
      <c r="J46" s="31"/>
    </row>
    <row r="47" spans="1:10" ht="15.75" customHeight="1" x14ac:dyDescent="0.2">
      <c r="A47" s="2"/>
      <c r="B47" s="18" t="s">
        <v>57</v>
      </c>
      <c r="C47" s="21">
        <f>SUBTOTAL(109,Table5138149160171182204226[Projected Cost])</f>
        <v>0</v>
      </c>
      <c r="D47" s="21">
        <f>SUBTOTAL(109,Table5138149160171182204226[Actual Cost])</f>
        <v>0</v>
      </c>
      <c r="E47" s="24">
        <f>SUBTOTAL(109,Table5138149160171182204226[Difference])</f>
        <v>0</v>
      </c>
      <c r="F47" s="26"/>
      <c r="G47" s="18" t="s">
        <v>49</v>
      </c>
      <c r="H47" s="19" t="s">
        <v>0</v>
      </c>
      <c r="I47" s="19" t="s">
        <v>1</v>
      </c>
      <c r="J47" s="20" t="s">
        <v>2</v>
      </c>
    </row>
    <row r="48" spans="1:10" ht="15.75" customHeight="1" x14ac:dyDescent="0.2">
      <c r="A48" s="2"/>
      <c r="B48" s="31"/>
      <c r="C48" s="31"/>
      <c r="D48" s="31"/>
      <c r="E48" s="31"/>
      <c r="F48" s="26"/>
      <c r="G48" s="25" t="s">
        <v>30</v>
      </c>
      <c r="H48" s="21"/>
      <c r="I48" s="21"/>
      <c r="J48" s="22">
        <f>Table11137148159170181203225[[#This Row],[Projected Cost]]-Table11137148159170181203225[[#This Row],[Actual Cost]]</f>
        <v>0</v>
      </c>
    </row>
    <row r="49" spans="1:10" ht="15.75" customHeight="1" x14ac:dyDescent="0.2">
      <c r="A49" s="2"/>
      <c r="B49" s="18" t="s">
        <v>50</v>
      </c>
      <c r="C49" s="19" t="s">
        <v>0</v>
      </c>
      <c r="D49" s="19" t="s">
        <v>1</v>
      </c>
      <c r="E49" s="20" t="s">
        <v>2</v>
      </c>
      <c r="F49" s="26"/>
      <c r="G49" s="25" t="s">
        <v>31</v>
      </c>
      <c r="H49" s="21"/>
      <c r="I49" s="21"/>
      <c r="J49" s="22">
        <f>Table11137148159170181203225[[#This Row],[Projected Cost]]-Table11137148159170181203225[[#This Row],[Actual Cost]]</f>
        <v>0</v>
      </c>
    </row>
    <row r="50" spans="1:10" ht="15.75" customHeight="1" x14ac:dyDescent="0.2">
      <c r="A50" s="2"/>
      <c r="B50" s="25" t="s">
        <v>18</v>
      </c>
      <c r="C50" s="21"/>
      <c r="D50" s="21"/>
      <c r="E50" s="22">
        <f>Table6136147158169180202224[[#This Row],[Projected Cost]]-Table6136147158169180202224[[#This Row],[Actual Cost]]</f>
        <v>0</v>
      </c>
      <c r="F50" s="26"/>
      <c r="G50" s="25" t="s">
        <v>36</v>
      </c>
      <c r="H50" s="21"/>
      <c r="I50" s="21"/>
      <c r="J50" s="22">
        <f>Table11137148159170181203225[[#This Row],[Projected Cost]]-Table11137148159170181203225[[#This Row],[Actual Cost]]</f>
        <v>0</v>
      </c>
    </row>
    <row r="51" spans="1:10" ht="15.75" customHeight="1" x14ac:dyDescent="0.2">
      <c r="A51" s="2"/>
      <c r="B51" s="25" t="s">
        <v>20</v>
      </c>
      <c r="C51" s="21"/>
      <c r="D51" s="21"/>
      <c r="E51" s="22">
        <f>Table6136147158169180202224[[#This Row],[Projected Cost]]-Table6136147158169180202224[[#This Row],[Actual Cost]]</f>
        <v>0</v>
      </c>
      <c r="F51" s="26"/>
      <c r="G51" s="18" t="s">
        <v>57</v>
      </c>
      <c r="H51" s="21">
        <f>SUBTOTAL(109,Table11137148159170181203225[Projected Cost])</f>
        <v>0</v>
      </c>
      <c r="I51" s="21">
        <f>SUBTOTAL(109,Table11137148159170181203225[Actual Cost])</f>
        <v>0</v>
      </c>
      <c r="J51" s="24">
        <f>SUBTOTAL(109,Table11137148159170181203225[Difference])</f>
        <v>0</v>
      </c>
    </row>
    <row r="52" spans="1:10" ht="15.75" customHeight="1" x14ac:dyDescent="0.2">
      <c r="A52" s="2"/>
      <c r="B52" s="25" t="s">
        <v>21</v>
      </c>
      <c r="C52" s="21"/>
      <c r="D52" s="21"/>
      <c r="E52" s="22">
        <f>Table6136147158169180202224[[#This Row],[Projected Cost]]-Table6136147158169180202224[[#This Row],[Actual Cost]]</f>
        <v>0</v>
      </c>
      <c r="F52" s="26"/>
      <c r="G52" s="31"/>
      <c r="H52" s="31"/>
      <c r="I52" s="31"/>
      <c r="J52" s="31"/>
    </row>
    <row r="53" spans="1:10" ht="15.75" customHeight="1" x14ac:dyDescent="0.2">
      <c r="A53" s="2"/>
      <c r="B53" s="25" t="s">
        <v>19</v>
      </c>
      <c r="C53" s="21"/>
      <c r="D53" s="21"/>
      <c r="E53" s="22">
        <f>Table6136147158169180202224[[#This Row],[Projected Cost]]-Table6136147158169180202224[[#This Row],[Actual Cost]]</f>
        <v>0</v>
      </c>
      <c r="F53" s="26"/>
      <c r="G53" s="34" t="s">
        <v>54</v>
      </c>
      <c r="H53" s="34"/>
      <c r="I53" s="34"/>
      <c r="J53" s="35">
        <f>SUM(C24,C34,C41,C47,C55,C65,H23,H32,H39,H45,H51)</f>
        <v>0</v>
      </c>
    </row>
    <row r="54" spans="1:10" ht="15.75" customHeight="1" x14ac:dyDescent="0.2">
      <c r="A54" s="2"/>
      <c r="B54" s="25" t="s">
        <v>10</v>
      </c>
      <c r="C54" s="21"/>
      <c r="D54" s="21"/>
      <c r="E54" s="22">
        <f>Table6136147158169180202224[[#This Row],[Projected Cost]]-Table6136147158169180202224[[#This Row],[Actual Cost]]</f>
        <v>0</v>
      </c>
      <c r="F54" s="26"/>
      <c r="G54" s="34"/>
      <c r="H54" s="34"/>
      <c r="I54" s="34"/>
      <c r="J54" s="35"/>
    </row>
    <row r="55" spans="1:10" ht="15.75" customHeight="1" x14ac:dyDescent="0.2">
      <c r="A55" s="2"/>
      <c r="B55" s="18" t="s">
        <v>57</v>
      </c>
      <c r="C55" s="21">
        <f>SUBTOTAL(109,Table6136147158169180202224[Projected Cost])</f>
        <v>0</v>
      </c>
      <c r="D55" s="21">
        <f>SUBTOTAL(109,Table6136147158169180202224[Actual Cost])</f>
        <v>0</v>
      </c>
      <c r="E55" s="24">
        <f>SUBTOTAL(109,Table6136147158169180202224[Difference])</f>
        <v>0</v>
      </c>
      <c r="F55" s="26"/>
      <c r="G55" s="34" t="s">
        <v>55</v>
      </c>
      <c r="H55" s="34"/>
      <c r="I55" s="34"/>
      <c r="J55" s="35">
        <f>SUM(D24,D34,D41,D47,D55,D65,I23,I32,I39,I45,I51)</f>
        <v>0</v>
      </c>
    </row>
    <row r="56" spans="1:10" ht="15.75" customHeight="1" x14ac:dyDescent="0.2">
      <c r="A56" s="2"/>
      <c r="B56" s="31"/>
      <c r="C56" s="31"/>
      <c r="D56" s="31"/>
      <c r="E56" s="31"/>
      <c r="F56" s="26"/>
      <c r="G56" s="34"/>
      <c r="H56" s="34"/>
      <c r="I56" s="34"/>
      <c r="J56" s="35"/>
    </row>
    <row r="57" spans="1:10" ht="15.75" customHeight="1" x14ac:dyDescent="0.2">
      <c r="A57" s="2"/>
      <c r="B57" s="18" t="s">
        <v>51</v>
      </c>
      <c r="C57" s="19" t="s">
        <v>0</v>
      </c>
      <c r="D57" s="19" t="s">
        <v>1</v>
      </c>
      <c r="E57" s="20" t="s">
        <v>2</v>
      </c>
      <c r="F57" s="26"/>
      <c r="G57" s="34" t="s">
        <v>56</v>
      </c>
      <c r="H57" s="34"/>
      <c r="I57" s="34"/>
      <c r="J57" s="35">
        <f>SUM(E24,E34,E41,E47,E55,E65,J23,J32,J39,J45,J51)</f>
        <v>0</v>
      </c>
    </row>
    <row r="58" spans="1:10" ht="15.75" customHeight="1" x14ac:dyDescent="0.2">
      <c r="A58" s="2"/>
      <c r="B58" s="25" t="s">
        <v>20</v>
      </c>
      <c r="C58" s="21"/>
      <c r="D58" s="21"/>
      <c r="E58" s="22">
        <f>Table7143154165176187209231[[#This Row],[Projected Cost]]-Table7143154165176187209231[[#This Row],[Actual Cost]]</f>
        <v>0</v>
      </c>
      <c r="F58" s="26"/>
      <c r="G58" s="34"/>
      <c r="H58" s="34"/>
      <c r="I58" s="34"/>
      <c r="J58" s="35"/>
    </row>
    <row r="59" spans="1:10" ht="15.75" customHeight="1" x14ac:dyDescent="0.2">
      <c r="A59" s="2"/>
      <c r="B59" s="25" t="s">
        <v>23</v>
      </c>
      <c r="C59" s="21"/>
      <c r="D59" s="21"/>
      <c r="E59" s="22">
        <f>Table7143154165176187209231[[#This Row],[Projected Cost]]-Table7143154165176187209231[[#This Row],[Actual Cost]]</f>
        <v>0</v>
      </c>
      <c r="F59" s="14"/>
    </row>
    <row r="60" spans="1:10" ht="15.75" customHeight="1" x14ac:dyDescent="0.2">
      <c r="A60" s="2"/>
      <c r="B60" s="25" t="s">
        <v>22</v>
      </c>
      <c r="C60" s="21"/>
      <c r="D60" s="21"/>
      <c r="E60" s="22">
        <f>Table7143154165176187209231[[#This Row],[Projected Cost]]-Table7143154165176187209231[[#This Row],[Actual Cost]]</f>
        <v>0</v>
      </c>
      <c r="F60" s="14"/>
    </row>
    <row r="61" spans="1:10" ht="15.75" customHeight="1" x14ac:dyDescent="0.2">
      <c r="A61" s="2"/>
      <c r="B61" s="25" t="s">
        <v>28</v>
      </c>
      <c r="C61" s="21"/>
      <c r="D61" s="21"/>
      <c r="E61" s="22">
        <f>Table7143154165176187209231[[#This Row],[Projected Cost]]-Table7143154165176187209231[[#This Row],[Actual Cost]]</f>
        <v>0</v>
      </c>
      <c r="F61" s="14"/>
    </row>
    <row r="62" spans="1:10" ht="15.75" customHeight="1" x14ac:dyDescent="0.2">
      <c r="A62" s="2"/>
      <c r="B62" s="25" t="s">
        <v>65</v>
      </c>
      <c r="C62" s="21"/>
      <c r="D62" s="21"/>
      <c r="E62" s="22">
        <f>Table7143154165176187209231[[#This Row],[Projected Cost]]-Table7143154165176187209231[[#This Row],[Actual Cost]]</f>
        <v>0</v>
      </c>
      <c r="F62" s="14"/>
    </row>
    <row r="63" spans="1:10" ht="15.75" customHeight="1" x14ac:dyDescent="0.2">
      <c r="A63" s="2"/>
      <c r="B63" s="25" t="s">
        <v>32</v>
      </c>
      <c r="C63" s="21"/>
      <c r="D63" s="21"/>
      <c r="E63" s="22">
        <f>Table7143154165176187209231[[#This Row],[Projected Cost]]-Table7143154165176187209231[[#This Row],[Actual Cost]]</f>
        <v>0</v>
      </c>
      <c r="F63" s="14"/>
    </row>
    <row r="64" spans="1:10" ht="15.75" customHeight="1" x14ac:dyDescent="0.2">
      <c r="A64" s="2"/>
      <c r="B64" s="25" t="s">
        <v>10</v>
      </c>
      <c r="C64" s="21"/>
      <c r="D64" s="21"/>
      <c r="E64" s="22">
        <f>Table7143154165176187209231[[#This Row],[Projected Cost]]-Table7143154165176187209231[[#This Row],[Actual Cost]]</f>
        <v>0</v>
      </c>
      <c r="F64" s="14"/>
    </row>
    <row r="65" spans="1:6" ht="15.75" customHeight="1" x14ac:dyDescent="0.2">
      <c r="A65" s="2"/>
      <c r="B65" s="18" t="s">
        <v>57</v>
      </c>
      <c r="C65" s="21">
        <f>SUBTOTAL(109,Table7143154165176187209231[Projected Cost])</f>
        <v>0</v>
      </c>
      <c r="D65" s="21">
        <f>SUBTOTAL(109,Table7143154165176187209231[Actual Cost])</f>
        <v>0</v>
      </c>
      <c r="E65" s="24">
        <f>SUBTOTAL(109,Table7143154165176187209231[Difference])</f>
        <v>0</v>
      </c>
      <c r="F65" s="14"/>
    </row>
    <row r="66" spans="1:6" ht="15.75" customHeight="1" x14ac:dyDescent="0.2">
      <c r="B66" t="s">
        <v>70</v>
      </c>
    </row>
  </sheetData>
  <mergeCells count="32">
    <mergeCell ref="B2:J2"/>
    <mergeCell ref="B3:D3"/>
    <mergeCell ref="B4:B7"/>
    <mergeCell ref="C4:D4"/>
    <mergeCell ref="G4:I6"/>
    <mergeCell ref="J4:J6"/>
    <mergeCell ref="C5:D5"/>
    <mergeCell ref="C7:D7"/>
    <mergeCell ref="G7:I9"/>
    <mergeCell ref="J7:J9"/>
    <mergeCell ref="B42:E42"/>
    <mergeCell ref="B8:B11"/>
    <mergeCell ref="C8:D8"/>
    <mergeCell ref="C10:D10"/>
    <mergeCell ref="G10:I11"/>
    <mergeCell ref="G24:J24"/>
    <mergeCell ref="B25:E25"/>
    <mergeCell ref="G33:J33"/>
    <mergeCell ref="B35:E35"/>
    <mergeCell ref="G40:J40"/>
    <mergeCell ref="J10:J11"/>
    <mergeCell ref="C11:D11"/>
    <mergeCell ref="G57:I58"/>
    <mergeCell ref="J57:J58"/>
    <mergeCell ref="G46:J46"/>
    <mergeCell ref="B48:E48"/>
    <mergeCell ref="G52:J52"/>
    <mergeCell ref="G53:I54"/>
    <mergeCell ref="J53:J54"/>
    <mergeCell ref="G55:I56"/>
    <mergeCell ref="J55:J56"/>
    <mergeCell ref="B56:E56"/>
  </mergeCells>
  <conditionalFormatting sqref="E14:E24 E27:E34 E37:E41 E44:E47 E50:E55 E58:E65 J14:J23 J26:J32 J35:J39 J42:J45 J48:J51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332B5-1131-41B1-9825-7A49A2331583}">
  <sheetPr>
    <pageSetUpPr autoPageBreaks="0" fitToPage="1"/>
  </sheetPr>
  <dimension ref="A1:J66"/>
  <sheetViews>
    <sheetView showGridLines="0" topLeftCell="A37" workbookViewId="0">
      <selection activeCell="J53" sqref="J53:J58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56" t="s">
        <v>34</v>
      </c>
      <c r="C2" s="57"/>
      <c r="D2" s="57"/>
      <c r="E2" s="57"/>
      <c r="F2" s="57"/>
      <c r="G2" s="57"/>
      <c r="H2" s="57"/>
      <c r="I2" s="57"/>
      <c r="J2" s="57"/>
    </row>
    <row r="3" spans="1:10" ht="8.1" customHeight="1" x14ac:dyDescent="0.2">
      <c r="A3" s="2"/>
      <c r="B3" s="43"/>
      <c r="C3" s="43"/>
      <c r="D3" s="43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40" t="s">
        <v>53</v>
      </c>
      <c r="C4" s="38" t="s">
        <v>68</v>
      </c>
      <c r="D4" s="39"/>
      <c r="E4" s="17">
        <v>0</v>
      </c>
      <c r="F4" s="5"/>
      <c r="G4" s="44" t="s">
        <v>58</v>
      </c>
      <c r="H4" s="45"/>
      <c r="I4" s="46"/>
      <c r="J4" s="53">
        <f>E7-J53</f>
        <v>0</v>
      </c>
    </row>
    <row r="5" spans="1:10" ht="15.95" customHeight="1" x14ac:dyDescent="0.2">
      <c r="A5" s="2"/>
      <c r="B5" s="41"/>
      <c r="C5" s="38" t="s">
        <v>69</v>
      </c>
      <c r="D5" s="39"/>
      <c r="E5" s="17">
        <v>0</v>
      </c>
      <c r="F5" s="5"/>
      <c r="G5" s="47"/>
      <c r="H5" s="48"/>
      <c r="I5" s="49"/>
      <c r="J5" s="54"/>
    </row>
    <row r="6" spans="1:10" ht="15.95" customHeight="1" x14ac:dyDescent="0.2">
      <c r="A6" s="2"/>
      <c r="B6" s="41"/>
      <c r="C6" s="27" t="s">
        <v>10</v>
      </c>
      <c r="D6" s="28"/>
      <c r="E6" s="17">
        <v>0</v>
      </c>
      <c r="F6" s="5"/>
      <c r="G6" s="50"/>
      <c r="H6" s="51"/>
      <c r="I6" s="52"/>
      <c r="J6" s="55"/>
    </row>
    <row r="7" spans="1:10" ht="15.95" customHeight="1" x14ac:dyDescent="0.2">
      <c r="A7" s="2"/>
      <c r="B7" s="42"/>
      <c r="C7" s="36" t="s">
        <v>35</v>
      </c>
      <c r="D7" s="37"/>
      <c r="E7" s="30">
        <f>SUM(E4:E6)</f>
        <v>0</v>
      </c>
      <c r="F7" s="5"/>
      <c r="G7" s="44" t="s">
        <v>59</v>
      </c>
      <c r="H7" s="45"/>
      <c r="I7" s="46"/>
      <c r="J7" s="53">
        <f>E11-J55</f>
        <v>0</v>
      </c>
    </row>
    <row r="8" spans="1:10" ht="15.95" customHeight="1" x14ac:dyDescent="0.2">
      <c r="A8" s="2"/>
      <c r="B8" s="40" t="s">
        <v>52</v>
      </c>
      <c r="C8" s="38" t="s">
        <v>68</v>
      </c>
      <c r="D8" s="39"/>
      <c r="E8" s="17">
        <v>0</v>
      </c>
      <c r="F8" s="5"/>
      <c r="G8" s="47"/>
      <c r="H8" s="48"/>
      <c r="I8" s="49"/>
      <c r="J8" s="54"/>
    </row>
    <row r="9" spans="1:10" ht="15.95" customHeight="1" x14ac:dyDescent="0.2">
      <c r="A9" s="2"/>
      <c r="B9" s="41"/>
      <c r="C9" s="27" t="s">
        <v>69</v>
      </c>
      <c r="D9" s="28"/>
      <c r="E9" s="17">
        <v>0</v>
      </c>
      <c r="F9" s="5"/>
      <c r="G9" s="50"/>
      <c r="H9" s="51"/>
      <c r="I9" s="52"/>
      <c r="J9" s="55"/>
    </row>
    <row r="10" spans="1:10" ht="15.95" customHeight="1" x14ac:dyDescent="0.2">
      <c r="A10" s="2"/>
      <c r="B10" s="41"/>
      <c r="C10" s="38" t="s">
        <v>10</v>
      </c>
      <c r="D10" s="39"/>
      <c r="E10" s="17">
        <v>0</v>
      </c>
      <c r="F10" s="5"/>
      <c r="G10" s="34" t="s">
        <v>60</v>
      </c>
      <c r="H10" s="34"/>
      <c r="I10" s="34"/>
      <c r="J10" s="35">
        <f>J7-J4</f>
        <v>0</v>
      </c>
    </row>
    <row r="11" spans="1:10" ht="15.95" customHeight="1" x14ac:dyDescent="0.2">
      <c r="A11" s="2"/>
      <c r="B11" s="42"/>
      <c r="C11" s="36" t="s">
        <v>35</v>
      </c>
      <c r="D11" s="37"/>
      <c r="E11" s="30">
        <f>SUM(E8:E10)</f>
        <v>0</v>
      </c>
      <c r="F11" s="5"/>
      <c r="G11" s="34"/>
      <c r="H11" s="34"/>
      <c r="I11" s="34"/>
      <c r="J11" s="35"/>
    </row>
    <row r="12" spans="1:10" ht="15.95" customHeight="1" x14ac:dyDescent="0.2">
      <c r="A12" s="2"/>
      <c r="B12" s="29"/>
      <c r="C12" s="29"/>
      <c r="D12" s="10"/>
      <c r="E12" s="11"/>
      <c r="F12" s="5"/>
      <c r="G12" s="12"/>
      <c r="H12" s="12"/>
      <c r="I12" s="12"/>
      <c r="J12" s="13"/>
    </row>
    <row r="13" spans="1:10" ht="15.95" customHeight="1" x14ac:dyDescent="0.2">
      <c r="A13" s="2"/>
      <c r="B13" s="18" t="s">
        <v>43</v>
      </c>
      <c r="C13" s="19" t="s">
        <v>0</v>
      </c>
      <c r="D13" s="19" t="s">
        <v>1</v>
      </c>
      <c r="E13" s="20" t="s">
        <v>2</v>
      </c>
      <c r="F13" s="16"/>
      <c r="G13" s="18" t="s">
        <v>44</v>
      </c>
      <c r="H13" s="19" t="s">
        <v>0</v>
      </c>
      <c r="I13" s="19" t="s">
        <v>1</v>
      </c>
      <c r="J13" s="20" t="s">
        <v>2</v>
      </c>
    </row>
    <row r="14" spans="1:10" ht="15.75" customHeight="1" x14ac:dyDescent="0.2">
      <c r="A14" s="2"/>
      <c r="B14" s="25" t="s">
        <v>62</v>
      </c>
      <c r="C14" s="21"/>
      <c r="D14" s="21"/>
      <c r="E14" s="22">
        <f>Table1134145156167178200222233[[#This Row],[Projected Cost]]-Table1134145156167178200222233[[#This Row],[Actual Cost]]</f>
        <v>0</v>
      </c>
      <c r="F14" s="26"/>
      <c r="G14" s="25" t="s">
        <v>66</v>
      </c>
      <c r="H14" s="21"/>
      <c r="I14" s="21"/>
      <c r="J14" s="22">
        <f>Table2144155166177188210232243[[#This Row],[Projected Cost]]-Table2144155166177188210232243[[#This Row],[Actual Cost]]</f>
        <v>0</v>
      </c>
    </row>
    <row r="15" spans="1:10" ht="15.75" customHeight="1" x14ac:dyDescent="0.2">
      <c r="A15" s="2"/>
      <c r="B15" s="25" t="s">
        <v>3</v>
      </c>
      <c r="C15" s="21"/>
      <c r="D15" s="21"/>
      <c r="E15" s="22">
        <f>Table1134145156167178200222233[[#This Row],[Projected Cost]]-Table1134145156167178200222233[[#This Row],[Actual Cost]]</f>
        <v>0</v>
      </c>
      <c r="F15" s="26"/>
      <c r="G15" s="25" t="s">
        <v>61</v>
      </c>
      <c r="H15" s="21"/>
      <c r="I15" s="21"/>
      <c r="J15" s="22">
        <f>Table2144155166177188210232243[[#This Row],[Projected Cost]]-Table2144155166177188210232243[[#This Row],[Actual Cost]]</f>
        <v>0</v>
      </c>
    </row>
    <row r="16" spans="1:10" ht="15.75" customHeight="1" x14ac:dyDescent="0.2">
      <c r="A16" s="2"/>
      <c r="B16" s="25" t="s">
        <v>37</v>
      </c>
      <c r="C16" s="21"/>
      <c r="D16" s="21"/>
      <c r="E16" s="22">
        <f>Table1134145156167178200222233[[#This Row],[Projected Cost]]-Table1134145156167178200222233[[#This Row],[Actual Cost]]</f>
        <v>0</v>
      </c>
      <c r="F16" s="26"/>
      <c r="G16" s="25" t="s">
        <v>25</v>
      </c>
      <c r="H16" s="21"/>
      <c r="I16" s="21"/>
      <c r="J16" s="22">
        <f>Table2144155166177188210232243[[#This Row],[Projected Cost]]-Table2144155166177188210232243[[#This Row],[Actual Cost]]</f>
        <v>0</v>
      </c>
    </row>
    <row r="17" spans="1:10" ht="15.75" customHeight="1" x14ac:dyDescent="0.2">
      <c r="A17" s="2"/>
      <c r="B17" s="25" t="s">
        <v>4</v>
      </c>
      <c r="C17" s="21"/>
      <c r="D17" s="21"/>
      <c r="E17" s="22">
        <f>Table1134145156167178200222233[[#This Row],[Projected Cost]]-Table1134145156167178200222233[[#This Row],[Actual Cost]]</f>
        <v>0</v>
      </c>
      <c r="F17" s="26"/>
      <c r="G17" s="25" t="s">
        <v>26</v>
      </c>
      <c r="H17" s="21"/>
      <c r="I17" s="21"/>
      <c r="J17" s="22">
        <f>Table2144155166177188210232243[[#This Row],[Projected Cost]]-Table2144155166177188210232243[[#This Row],[Actual Cost]]</f>
        <v>0</v>
      </c>
    </row>
    <row r="18" spans="1:10" ht="15.75" customHeight="1" x14ac:dyDescent="0.2">
      <c r="A18" s="2"/>
      <c r="B18" s="25" t="s">
        <v>5</v>
      </c>
      <c r="C18" s="21"/>
      <c r="D18" s="21"/>
      <c r="E18" s="22">
        <f>Table1134145156167178200222233[[#This Row],[Projected Cost]]-Table1134145156167178200222233[[#This Row],[Actual Cost]]</f>
        <v>0</v>
      </c>
      <c r="F18" s="26"/>
      <c r="G18" s="25" t="s">
        <v>39</v>
      </c>
      <c r="H18" s="21"/>
      <c r="I18" s="21"/>
      <c r="J18" s="22">
        <f>Table2144155166177188210232243[[#This Row],[Projected Cost]]-Table2144155166177188210232243[[#This Row],[Actual Cost]]</f>
        <v>0</v>
      </c>
    </row>
    <row r="19" spans="1:10" ht="15.75" customHeight="1" x14ac:dyDescent="0.2">
      <c r="A19" s="2"/>
      <c r="B19" s="25" t="s">
        <v>6</v>
      </c>
      <c r="C19" s="21"/>
      <c r="D19" s="21"/>
      <c r="E19" s="22">
        <f>Table1134145156167178200222233[[#This Row],[Projected Cost]]-Table1134145156167178200222233[[#This Row],[Actual Cost]]</f>
        <v>0</v>
      </c>
      <c r="F19" s="26"/>
      <c r="G19" s="25" t="s">
        <v>27</v>
      </c>
      <c r="H19" s="21"/>
      <c r="I19" s="21"/>
      <c r="J19" s="22">
        <f>Table2144155166177188210232243[[#This Row],[Projected Cost]]-Table2144155166177188210232243[[#This Row],[Actual Cost]]</f>
        <v>0</v>
      </c>
    </row>
    <row r="20" spans="1:10" ht="15.75" customHeight="1" x14ac:dyDescent="0.2">
      <c r="A20" s="2"/>
      <c r="B20" s="25" t="s">
        <v>7</v>
      </c>
      <c r="C20" s="21"/>
      <c r="D20" s="21"/>
      <c r="E20" s="22">
        <f>Table1134145156167178200222233[[#This Row],[Projected Cost]]-Table1134145156167178200222233[[#This Row],[Actual Cost]]</f>
        <v>0</v>
      </c>
      <c r="F20" s="26"/>
      <c r="G20" s="25" t="s">
        <v>10</v>
      </c>
      <c r="H20" s="21"/>
      <c r="I20" s="21"/>
      <c r="J20" s="22">
        <f>Table2144155166177188210232243[[#This Row],[Projected Cost]]-Table2144155166177188210232243[[#This Row],[Actual Cost]]</f>
        <v>0</v>
      </c>
    </row>
    <row r="21" spans="1:10" ht="15.75" customHeight="1" x14ac:dyDescent="0.2">
      <c r="A21" s="2"/>
      <c r="B21" s="25" t="s">
        <v>8</v>
      </c>
      <c r="C21" s="21"/>
      <c r="D21" s="21"/>
      <c r="E21" s="22">
        <f>Table1134145156167178200222233[[#This Row],[Projected Cost]]-Table1134145156167178200222233[[#This Row],[Actual Cost]]</f>
        <v>0</v>
      </c>
      <c r="F21" s="26"/>
      <c r="G21" s="25" t="s">
        <v>10</v>
      </c>
      <c r="H21" s="21"/>
      <c r="I21" s="21"/>
      <c r="J21" s="22">
        <f>Table2144155166177188210232243[[#This Row],[Projected Cost]]-Table2144155166177188210232243[[#This Row],[Actual Cost]]</f>
        <v>0</v>
      </c>
    </row>
    <row r="22" spans="1:10" ht="15.75" customHeight="1" x14ac:dyDescent="0.2">
      <c r="A22" s="2"/>
      <c r="B22" s="25" t="s">
        <v>9</v>
      </c>
      <c r="C22" s="21"/>
      <c r="D22" s="21"/>
      <c r="E22" s="22">
        <f>Table1134145156167178200222233[[#This Row],[Projected Cost]]-Table1134145156167178200222233[[#This Row],[Actual Cost]]</f>
        <v>0</v>
      </c>
      <c r="F22" s="26"/>
      <c r="G22" s="25" t="s">
        <v>10</v>
      </c>
      <c r="H22" s="21"/>
      <c r="I22" s="21"/>
      <c r="J22" s="22">
        <f>Table2144155166177188210232243[[#This Row],[Projected Cost]]-Table2144155166177188210232243[[#This Row],[Actual Cost]]</f>
        <v>0</v>
      </c>
    </row>
    <row r="23" spans="1:10" ht="15.75" customHeight="1" x14ac:dyDescent="0.2">
      <c r="A23" s="2"/>
      <c r="B23" s="25" t="s">
        <v>10</v>
      </c>
      <c r="C23" s="21"/>
      <c r="D23" s="21"/>
      <c r="E23" s="22">
        <f>Table1134145156167178200222233[[#This Row],[Projected Cost]]-Table1134145156167178200222233[[#This Row],[Actual Cost]]</f>
        <v>0</v>
      </c>
      <c r="F23" s="26"/>
      <c r="G23" s="18" t="s">
        <v>57</v>
      </c>
      <c r="H23" s="23">
        <f>SUBTOTAL(109,Table2144155166177188210232243[Projected Cost])</f>
        <v>0</v>
      </c>
      <c r="I23" s="21">
        <f>SUBTOTAL(109,Table2144155166177188210232243[Actual Cost])</f>
        <v>0</v>
      </c>
      <c r="J23" s="24">
        <f>SUBTOTAL(109,Table2144155166177188210232243[Difference])</f>
        <v>0</v>
      </c>
    </row>
    <row r="24" spans="1:10" ht="15.75" customHeight="1" x14ac:dyDescent="0.2">
      <c r="A24" s="2"/>
      <c r="B24" s="18" t="s">
        <v>57</v>
      </c>
      <c r="C24" s="21">
        <f>SUBTOTAL(109,Table1134145156167178200222233[Projected Cost])</f>
        <v>0</v>
      </c>
      <c r="D24" s="21">
        <f>SUBTOTAL(109,Table1134145156167178200222233[Actual Cost])</f>
        <v>0</v>
      </c>
      <c r="E24" s="24">
        <f>SUBTOTAL(109,Table1134145156167178200222233[Difference])</f>
        <v>0</v>
      </c>
      <c r="F24" s="26"/>
      <c r="G24" s="32"/>
      <c r="H24" s="32"/>
      <c r="I24" s="32"/>
      <c r="J24" s="32"/>
    </row>
    <row r="25" spans="1:10" ht="15.75" customHeight="1" x14ac:dyDescent="0.2">
      <c r="A25" s="2"/>
      <c r="B25" s="31"/>
      <c r="C25" s="31"/>
      <c r="D25" s="31"/>
      <c r="E25" s="31"/>
      <c r="F25" s="26"/>
      <c r="G25" s="18" t="s">
        <v>67</v>
      </c>
      <c r="H25" s="19" t="s">
        <v>0</v>
      </c>
      <c r="I25" s="19" t="s">
        <v>1</v>
      </c>
      <c r="J25" s="20" t="s">
        <v>2</v>
      </c>
    </row>
    <row r="26" spans="1:10" ht="15.75" customHeight="1" x14ac:dyDescent="0.2">
      <c r="A26" s="2"/>
      <c r="B26" s="18" t="s">
        <v>45</v>
      </c>
      <c r="C26" s="19" t="s">
        <v>0</v>
      </c>
      <c r="D26" s="19" t="s">
        <v>1</v>
      </c>
      <c r="E26" s="20" t="s">
        <v>2</v>
      </c>
      <c r="F26" s="26"/>
      <c r="G26" s="25" t="s">
        <v>29</v>
      </c>
      <c r="H26" s="21"/>
      <c r="I26" s="21"/>
      <c r="J26" s="22">
        <f>Table8141152163174185207229240[[#This Row],[Projected Cost]]-Table8141152163174185207229240[[#This Row],[Actual Cost]]</f>
        <v>0</v>
      </c>
    </row>
    <row r="27" spans="1:10" ht="15.75" customHeight="1" x14ac:dyDescent="0.2">
      <c r="A27" s="2"/>
      <c r="B27" s="25" t="s">
        <v>38</v>
      </c>
      <c r="C27" s="21"/>
      <c r="D27" s="21"/>
      <c r="E27" s="22">
        <f>Table3140151162173184206228239[[#This Row],[Projected Cost]]-Table3140151162173184206228239[[#This Row],[Actual Cost]]</f>
        <v>0</v>
      </c>
      <c r="F27" s="26"/>
      <c r="G27" s="25" t="s">
        <v>33</v>
      </c>
      <c r="H27" s="21"/>
      <c r="I27" s="21"/>
      <c r="J27" s="22">
        <f>Table8141152163174185207229240[[#This Row],[Projected Cost]]-Table8141152163174185207229240[[#This Row],[Actual Cost]]</f>
        <v>0</v>
      </c>
    </row>
    <row r="28" spans="1:10" ht="15.75" customHeight="1" x14ac:dyDescent="0.2">
      <c r="A28" s="2"/>
      <c r="B28" s="25" t="s">
        <v>63</v>
      </c>
      <c r="C28" s="21"/>
      <c r="D28" s="21"/>
      <c r="E28" s="22">
        <f>Table3140151162173184206228239[[#This Row],[Projected Cost]]-Table3140151162173184206228239[[#This Row],[Actual Cost]]</f>
        <v>0</v>
      </c>
      <c r="F28" s="26"/>
      <c r="G28" s="25" t="s">
        <v>40</v>
      </c>
      <c r="H28" s="21"/>
      <c r="I28" s="21"/>
      <c r="J28" s="22">
        <f>Table8141152163174185207229240[[#This Row],[Projected Cost]]-Table8141152163174185207229240[[#This Row],[Actual Cost]]</f>
        <v>0</v>
      </c>
    </row>
    <row r="29" spans="1:10" ht="15.75" customHeight="1" x14ac:dyDescent="0.2">
      <c r="A29" s="2"/>
      <c r="B29" s="25" t="s">
        <v>11</v>
      </c>
      <c r="C29" s="21"/>
      <c r="D29" s="21"/>
      <c r="E29" s="22">
        <f>Table3140151162173184206228239[[#This Row],[Projected Cost]]-Table3140151162173184206228239[[#This Row],[Actual Cost]]</f>
        <v>0</v>
      </c>
      <c r="F29" s="26"/>
      <c r="G29" s="25" t="s">
        <v>40</v>
      </c>
      <c r="H29" s="21"/>
      <c r="I29" s="21"/>
      <c r="J29" s="22">
        <f>Table8141152163174185207229240[[#This Row],[Projected Cost]]-Table8141152163174185207229240[[#This Row],[Actual Cost]]</f>
        <v>0</v>
      </c>
    </row>
    <row r="30" spans="1:10" ht="15.75" customHeight="1" x14ac:dyDescent="0.2">
      <c r="A30" s="2"/>
      <c r="B30" s="25" t="s">
        <v>12</v>
      </c>
      <c r="C30" s="21"/>
      <c r="D30" s="21"/>
      <c r="E30" s="22">
        <f>Table3140151162173184206228239[[#This Row],[Projected Cost]]-Table3140151162173184206228239[[#This Row],[Actual Cost]]</f>
        <v>0</v>
      </c>
      <c r="F30" s="26"/>
      <c r="G30" s="25" t="s">
        <v>40</v>
      </c>
      <c r="H30" s="21"/>
      <c r="I30" s="21"/>
      <c r="J30" s="22">
        <f>Table8141152163174185207229240[[#This Row],[Projected Cost]]-Table8141152163174185207229240[[#This Row],[Actual Cost]]</f>
        <v>0</v>
      </c>
    </row>
    <row r="31" spans="1:10" ht="15.75" customHeight="1" x14ac:dyDescent="0.2">
      <c r="A31" s="2"/>
      <c r="B31" s="25" t="s">
        <v>13</v>
      </c>
      <c r="C31" s="21"/>
      <c r="D31" s="21"/>
      <c r="E31" s="22">
        <f>Table3140151162173184206228239[[#This Row],[Projected Cost]]-Table3140151162173184206228239[[#This Row],[Actual Cost]]</f>
        <v>0</v>
      </c>
      <c r="F31" s="26"/>
      <c r="G31" s="25" t="s">
        <v>10</v>
      </c>
      <c r="H31" s="21"/>
      <c r="I31" s="21"/>
      <c r="J31" s="22">
        <f>Table8141152163174185207229240[[#This Row],[Projected Cost]]-Table8141152163174185207229240[[#This Row],[Actual Cost]]</f>
        <v>0</v>
      </c>
    </row>
    <row r="32" spans="1:10" ht="15.75" customHeight="1" x14ac:dyDescent="0.2">
      <c r="A32" s="2"/>
      <c r="B32" s="25" t="s">
        <v>14</v>
      </c>
      <c r="C32" s="21"/>
      <c r="D32" s="21"/>
      <c r="E32" s="22">
        <f>Table3140151162173184206228239[[#This Row],[Projected Cost]]-Table3140151162173184206228239[[#This Row],[Actual Cost]]</f>
        <v>0</v>
      </c>
      <c r="F32" s="26"/>
      <c r="G32" s="18" t="s">
        <v>57</v>
      </c>
      <c r="H32" s="21">
        <f>SUBTOTAL(109,Table8141152163174185207229240[Projected Cost])</f>
        <v>0</v>
      </c>
      <c r="I32" s="21">
        <f>SUBTOTAL(109,Table8141152163174185207229240[Actual Cost])</f>
        <v>0</v>
      </c>
      <c r="J32" s="24">
        <f>SUBTOTAL(109,Table8141152163174185207229240[Difference])</f>
        <v>0</v>
      </c>
    </row>
    <row r="33" spans="1:10" ht="15.75" customHeight="1" x14ac:dyDescent="0.2">
      <c r="A33" s="2"/>
      <c r="B33" s="25" t="s">
        <v>10</v>
      </c>
      <c r="C33" s="21"/>
      <c r="D33" s="21"/>
      <c r="E33" s="22">
        <f>Table3140151162173184206228239[[#This Row],[Projected Cost]]-Table3140151162173184206228239[[#This Row],[Actual Cost]]</f>
        <v>0</v>
      </c>
      <c r="F33" s="26"/>
      <c r="G33" s="31"/>
      <c r="H33" s="31"/>
      <c r="I33" s="31"/>
      <c r="J33" s="31"/>
    </row>
    <row r="34" spans="1:10" ht="15.75" customHeight="1" x14ac:dyDescent="0.2">
      <c r="A34" s="2"/>
      <c r="B34" s="18" t="s">
        <v>57</v>
      </c>
      <c r="C34" s="21">
        <f>SUBTOTAL(109,Table3140151162173184206228239[Projected Cost])</f>
        <v>0</v>
      </c>
      <c r="D34" s="21">
        <f>SUBTOTAL(109,Table3140151162173184206228239[Actual Cost])</f>
        <v>0</v>
      </c>
      <c r="E34" s="24">
        <f>SUBTOTAL(109,Table3140151162173184206228239[Difference])</f>
        <v>0</v>
      </c>
      <c r="F34" s="26"/>
      <c r="G34" s="18" t="s">
        <v>10</v>
      </c>
      <c r="H34" s="19" t="s">
        <v>0</v>
      </c>
      <c r="I34" s="19" t="s">
        <v>1</v>
      </c>
      <c r="J34" s="20" t="s">
        <v>2</v>
      </c>
    </row>
    <row r="35" spans="1:10" ht="15.75" customHeight="1" x14ac:dyDescent="0.2">
      <c r="A35" s="2"/>
      <c r="B35" s="31"/>
      <c r="C35" s="31"/>
      <c r="D35" s="31"/>
      <c r="E35" s="31"/>
      <c r="F35" s="26"/>
      <c r="G35" s="25" t="s">
        <v>10</v>
      </c>
      <c r="H35" s="21"/>
      <c r="I35" s="21"/>
      <c r="J35" s="22">
        <f>Table9139150161172183205227238[[#This Row],[Projected Cost]]-Table9139150161172183205227238[[#This Row],[Actual Cost]]</f>
        <v>0</v>
      </c>
    </row>
    <row r="36" spans="1:10" ht="15.75" customHeight="1" x14ac:dyDescent="0.2">
      <c r="A36" s="2"/>
      <c r="B36" s="18" t="s">
        <v>46</v>
      </c>
      <c r="C36" s="19" t="s">
        <v>0</v>
      </c>
      <c r="D36" s="19" t="s">
        <v>1</v>
      </c>
      <c r="E36" s="20" t="s">
        <v>2</v>
      </c>
      <c r="F36" s="26"/>
      <c r="G36" s="25" t="s">
        <v>10</v>
      </c>
      <c r="H36" s="21"/>
      <c r="I36" s="21"/>
      <c r="J36" s="22">
        <f>Table9139150161172183205227238[[#This Row],[Projected Cost]]-Table9139150161172183205227238[[#This Row],[Actual Cost]]</f>
        <v>0</v>
      </c>
    </row>
    <row r="37" spans="1:10" ht="15.75" customHeight="1" x14ac:dyDescent="0.2">
      <c r="A37" s="2"/>
      <c r="B37" s="25" t="s">
        <v>64</v>
      </c>
      <c r="C37" s="21"/>
      <c r="D37" s="21"/>
      <c r="E37" s="22">
        <f>Table4135146157168179201223234[[#This Row],[Projected Cost]]-Table4135146157168179201223234[[#This Row],[Actual Cost]]</f>
        <v>0</v>
      </c>
      <c r="F37" s="26"/>
      <c r="G37" s="25" t="s">
        <v>10</v>
      </c>
      <c r="H37" s="21"/>
      <c r="I37" s="21"/>
      <c r="J37" s="22">
        <f>Table9139150161172183205227238[[#This Row],[Projected Cost]]-Table9139150161172183205227238[[#This Row],[Actual Cost]]</f>
        <v>0</v>
      </c>
    </row>
    <row r="38" spans="1:10" ht="15.75" customHeight="1" x14ac:dyDescent="0.2">
      <c r="A38" s="2"/>
      <c r="B38" s="25" t="s">
        <v>15</v>
      </c>
      <c r="C38" s="21"/>
      <c r="D38" s="21"/>
      <c r="E38" s="22">
        <f>Table4135146157168179201223234[[#This Row],[Projected Cost]]-Table4135146157168179201223234[[#This Row],[Actual Cost]]</f>
        <v>0</v>
      </c>
      <c r="F38" s="26"/>
      <c r="G38" s="25" t="s">
        <v>10</v>
      </c>
      <c r="H38" s="21"/>
      <c r="I38" s="21"/>
      <c r="J38" s="22">
        <f>Table9139150161172183205227238[[#This Row],[Projected Cost]]-Table9139150161172183205227238[[#This Row],[Actual Cost]]</f>
        <v>0</v>
      </c>
    </row>
    <row r="39" spans="1:10" ht="15.75" customHeight="1" x14ac:dyDescent="0.2">
      <c r="A39" s="2"/>
      <c r="B39" s="25" t="s">
        <v>16</v>
      </c>
      <c r="C39" s="21"/>
      <c r="D39" s="21"/>
      <c r="E39" s="22">
        <f>Table4135146157168179201223234[[#This Row],[Projected Cost]]-Table4135146157168179201223234[[#This Row],[Actual Cost]]</f>
        <v>0</v>
      </c>
      <c r="F39" s="26"/>
      <c r="G39" s="18" t="s">
        <v>57</v>
      </c>
      <c r="H39" s="21">
        <f>SUBTOTAL(109,Table9139150161172183205227238[Projected Cost])</f>
        <v>0</v>
      </c>
      <c r="I39" s="21">
        <f>SUBTOTAL(109,Table9139150161172183205227238[Actual Cost])</f>
        <v>0</v>
      </c>
      <c r="J39" s="24">
        <f>SUBTOTAL(109,Table9139150161172183205227238[Difference])</f>
        <v>0</v>
      </c>
    </row>
    <row r="40" spans="1:10" ht="15.75" customHeight="1" x14ac:dyDescent="0.2">
      <c r="A40" s="2"/>
      <c r="B40" s="25" t="s">
        <v>10</v>
      </c>
      <c r="C40" s="21"/>
      <c r="D40" s="21"/>
      <c r="E40" s="22">
        <f>Table4135146157168179201223234[[#This Row],[Projected Cost]]-Table4135146157168179201223234[[#This Row],[Actual Cost]]</f>
        <v>0</v>
      </c>
      <c r="F40" s="26"/>
      <c r="G40" s="31"/>
      <c r="H40" s="31"/>
      <c r="I40" s="31"/>
      <c r="J40" s="31"/>
    </row>
    <row r="41" spans="1:10" ht="15.75" customHeight="1" x14ac:dyDescent="0.2">
      <c r="A41" s="2"/>
      <c r="B41" s="18" t="s">
        <v>57</v>
      </c>
      <c r="C41" s="21">
        <f>SUBTOTAL(109,Table4135146157168179201223234[Projected Cost])</f>
        <v>0</v>
      </c>
      <c r="D41" s="21">
        <f>SUBTOTAL(109,Table4135146157168179201223234[Actual Cost])</f>
        <v>0</v>
      </c>
      <c r="E41" s="24">
        <f>SUBTOTAL(109,Table4135146157168179201223234[Difference])</f>
        <v>0</v>
      </c>
      <c r="F41" s="26"/>
      <c r="G41" s="18" t="s">
        <v>48</v>
      </c>
      <c r="H41" s="19" t="s">
        <v>0</v>
      </c>
      <c r="I41" s="19" t="s">
        <v>1</v>
      </c>
      <c r="J41" s="20" t="s">
        <v>2</v>
      </c>
    </row>
    <row r="42" spans="1:10" ht="15.75" customHeight="1" x14ac:dyDescent="0.2">
      <c r="A42" s="2"/>
      <c r="B42" s="31"/>
      <c r="C42" s="31"/>
      <c r="D42" s="31"/>
      <c r="E42" s="31"/>
      <c r="F42" s="26"/>
      <c r="G42" s="25" t="s">
        <v>41</v>
      </c>
      <c r="H42" s="21"/>
      <c r="I42" s="21"/>
      <c r="J42" s="22">
        <f>Table10142153164175186208230241[[#This Row],[Projected Cost]]-Table10142153164175186208230241[[#This Row],[Actual Cost]]</f>
        <v>0</v>
      </c>
    </row>
    <row r="43" spans="1:10" ht="15.75" customHeight="1" x14ac:dyDescent="0.2">
      <c r="A43" s="2"/>
      <c r="B43" s="18" t="s">
        <v>47</v>
      </c>
      <c r="C43" s="19" t="s">
        <v>0</v>
      </c>
      <c r="D43" s="19" t="s">
        <v>1</v>
      </c>
      <c r="E43" s="20" t="s">
        <v>2</v>
      </c>
      <c r="F43" s="26"/>
      <c r="G43" s="25" t="s">
        <v>42</v>
      </c>
      <c r="H43" s="21"/>
      <c r="I43" s="21"/>
      <c r="J43" s="22">
        <f>Table10142153164175186208230241[[#This Row],[Projected Cost]]-Table10142153164175186208230241[[#This Row],[Actual Cost]]</f>
        <v>0</v>
      </c>
    </row>
    <row r="44" spans="1:10" ht="15.75" customHeight="1" x14ac:dyDescent="0.2">
      <c r="A44" s="2"/>
      <c r="B44" s="25" t="s">
        <v>17</v>
      </c>
      <c r="C44" s="21"/>
      <c r="D44" s="21"/>
      <c r="E44" s="22">
        <f>Table5138149160171182204226237[[#This Row],[Projected Cost]]-Table5138149160171182204226237[[#This Row],[Actual Cost]]</f>
        <v>0</v>
      </c>
      <c r="F44" s="26"/>
      <c r="G44" s="25" t="s">
        <v>10</v>
      </c>
      <c r="H44" s="21"/>
      <c r="I44" s="21"/>
      <c r="J44" s="22">
        <f>Table10142153164175186208230241[[#This Row],[Projected Cost]]-Table10142153164175186208230241[[#This Row],[Actual Cost]]</f>
        <v>0</v>
      </c>
    </row>
    <row r="45" spans="1:10" ht="15.75" customHeight="1" x14ac:dyDescent="0.2">
      <c r="A45" s="2"/>
      <c r="B45" s="25" t="s">
        <v>24</v>
      </c>
      <c r="C45" s="21"/>
      <c r="D45" s="21"/>
      <c r="E45" s="22">
        <f>Table5138149160171182204226237[[#This Row],[Projected Cost]]-Table5138149160171182204226237[[#This Row],[Actual Cost]]</f>
        <v>0</v>
      </c>
      <c r="F45" s="26"/>
      <c r="G45" s="18" t="s">
        <v>57</v>
      </c>
      <c r="H45" s="21">
        <f>SUBTOTAL(109,Table10142153164175186208230241[Projected Cost])</f>
        <v>0</v>
      </c>
      <c r="I45" s="21">
        <f>SUBTOTAL(109,Table10142153164175186208230241[Actual Cost])</f>
        <v>0</v>
      </c>
      <c r="J45" s="24">
        <f>SUBTOTAL(109,Table10142153164175186208230241[Difference])</f>
        <v>0</v>
      </c>
    </row>
    <row r="46" spans="1:10" ht="15.75" customHeight="1" x14ac:dyDescent="0.2">
      <c r="A46" s="2"/>
      <c r="B46" s="25" t="s">
        <v>10</v>
      </c>
      <c r="C46" s="21"/>
      <c r="D46" s="21"/>
      <c r="E46" s="22">
        <f>Table5138149160171182204226237[[#This Row],[Projected Cost]]-Table5138149160171182204226237[[#This Row],[Actual Cost]]</f>
        <v>0</v>
      </c>
      <c r="F46" s="26"/>
      <c r="G46" s="31"/>
      <c r="H46" s="31"/>
      <c r="I46" s="31"/>
      <c r="J46" s="31"/>
    </row>
    <row r="47" spans="1:10" ht="15.75" customHeight="1" x14ac:dyDescent="0.2">
      <c r="A47" s="2"/>
      <c r="B47" s="18" t="s">
        <v>57</v>
      </c>
      <c r="C47" s="21">
        <f>SUBTOTAL(109,Table5138149160171182204226237[Projected Cost])</f>
        <v>0</v>
      </c>
      <c r="D47" s="21">
        <f>SUBTOTAL(109,Table5138149160171182204226237[Actual Cost])</f>
        <v>0</v>
      </c>
      <c r="E47" s="24">
        <f>SUBTOTAL(109,Table5138149160171182204226237[Difference])</f>
        <v>0</v>
      </c>
      <c r="F47" s="26"/>
      <c r="G47" s="18" t="s">
        <v>49</v>
      </c>
      <c r="H47" s="19" t="s">
        <v>0</v>
      </c>
      <c r="I47" s="19" t="s">
        <v>1</v>
      </c>
      <c r="J47" s="20" t="s">
        <v>2</v>
      </c>
    </row>
    <row r="48" spans="1:10" ht="15.75" customHeight="1" x14ac:dyDescent="0.2">
      <c r="A48" s="2"/>
      <c r="B48" s="31"/>
      <c r="C48" s="31"/>
      <c r="D48" s="31"/>
      <c r="E48" s="31"/>
      <c r="F48" s="26"/>
      <c r="G48" s="25" t="s">
        <v>30</v>
      </c>
      <c r="H48" s="21"/>
      <c r="I48" s="21"/>
      <c r="J48" s="22">
        <f>Table11137148159170181203225236[[#This Row],[Projected Cost]]-Table11137148159170181203225236[[#This Row],[Actual Cost]]</f>
        <v>0</v>
      </c>
    </row>
    <row r="49" spans="1:10" ht="15.75" customHeight="1" x14ac:dyDescent="0.2">
      <c r="A49" s="2"/>
      <c r="B49" s="18" t="s">
        <v>50</v>
      </c>
      <c r="C49" s="19" t="s">
        <v>0</v>
      </c>
      <c r="D49" s="19" t="s">
        <v>1</v>
      </c>
      <c r="E49" s="20" t="s">
        <v>2</v>
      </c>
      <c r="F49" s="26"/>
      <c r="G49" s="25" t="s">
        <v>31</v>
      </c>
      <c r="H49" s="21"/>
      <c r="I49" s="21"/>
      <c r="J49" s="22">
        <f>Table11137148159170181203225236[[#This Row],[Projected Cost]]-Table11137148159170181203225236[[#This Row],[Actual Cost]]</f>
        <v>0</v>
      </c>
    </row>
    <row r="50" spans="1:10" ht="15.75" customHeight="1" x14ac:dyDescent="0.2">
      <c r="A50" s="2"/>
      <c r="B50" s="25" t="s">
        <v>18</v>
      </c>
      <c r="C50" s="21"/>
      <c r="D50" s="21"/>
      <c r="E50" s="22">
        <f>Table6136147158169180202224235[[#This Row],[Projected Cost]]-Table6136147158169180202224235[[#This Row],[Actual Cost]]</f>
        <v>0</v>
      </c>
      <c r="F50" s="26"/>
      <c r="G50" s="25" t="s">
        <v>36</v>
      </c>
      <c r="H50" s="21"/>
      <c r="I50" s="21"/>
      <c r="J50" s="22">
        <f>Table11137148159170181203225236[[#This Row],[Projected Cost]]-Table11137148159170181203225236[[#This Row],[Actual Cost]]</f>
        <v>0</v>
      </c>
    </row>
    <row r="51" spans="1:10" ht="15.75" customHeight="1" x14ac:dyDescent="0.2">
      <c r="A51" s="2"/>
      <c r="B51" s="25" t="s">
        <v>20</v>
      </c>
      <c r="C51" s="21"/>
      <c r="D51" s="21"/>
      <c r="E51" s="22">
        <f>Table6136147158169180202224235[[#This Row],[Projected Cost]]-Table6136147158169180202224235[[#This Row],[Actual Cost]]</f>
        <v>0</v>
      </c>
      <c r="F51" s="26"/>
      <c r="G51" s="18" t="s">
        <v>57</v>
      </c>
      <c r="H51" s="21">
        <f>SUBTOTAL(109,Table11137148159170181203225236[Projected Cost])</f>
        <v>0</v>
      </c>
      <c r="I51" s="21">
        <f>SUBTOTAL(109,Table11137148159170181203225236[Actual Cost])</f>
        <v>0</v>
      </c>
      <c r="J51" s="24">
        <f>SUBTOTAL(109,Table11137148159170181203225236[Difference])</f>
        <v>0</v>
      </c>
    </row>
    <row r="52" spans="1:10" ht="15.75" customHeight="1" x14ac:dyDescent="0.2">
      <c r="A52" s="2"/>
      <c r="B52" s="25" t="s">
        <v>21</v>
      </c>
      <c r="C52" s="21"/>
      <c r="D52" s="21"/>
      <c r="E52" s="22">
        <f>Table6136147158169180202224235[[#This Row],[Projected Cost]]-Table6136147158169180202224235[[#This Row],[Actual Cost]]</f>
        <v>0</v>
      </c>
      <c r="F52" s="26"/>
      <c r="G52" s="31"/>
      <c r="H52" s="31"/>
      <c r="I52" s="31"/>
      <c r="J52" s="31"/>
    </row>
    <row r="53" spans="1:10" ht="15.75" customHeight="1" x14ac:dyDescent="0.2">
      <c r="A53" s="2"/>
      <c r="B53" s="25" t="s">
        <v>19</v>
      </c>
      <c r="C53" s="21"/>
      <c r="D53" s="21"/>
      <c r="E53" s="22">
        <f>Table6136147158169180202224235[[#This Row],[Projected Cost]]-Table6136147158169180202224235[[#This Row],[Actual Cost]]</f>
        <v>0</v>
      </c>
      <c r="F53" s="26"/>
      <c r="G53" s="34" t="s">
        <v>54</v>
      </c>
      <c r="H53" s="34"/>
      <c r="I53" s="34"/>
      <c r="J53" s="35">
        <f>SUM(C24,C34,C41,C47,C55,C65,H23,H32,H39,H45,H51)</f>
        <v>0</v>
      </c>
    </row>
    <row r="54" spans="1:10" ht="15.75" customHeight="1" x14ac:dyDescent="0.2">
      <c r="A54" s="2"/>
      <c r="B54" s="25" t="s">
        <v>10</v>
      </c>
      <c r="C54" s="21"/>
      <c r="D54" s="21"/>
      <c r="E54" s="22">
        <f>Table6136147158169180202224235[[#This Row],[Projected Cost]]-Table6136147158169180202224235[[#This Row],[Actual Cost]]</f>
        <v>0</v>
      </c>
      <c r="F54" s="26"/>
      <c r="G54" s="34"/>
      <c r="H54" s="34"/>
      <c r="I54" s="34"/>
      <c r="J54" s="35"/>
    </row>
    <row r="55" spans="1:10" ht="15.75" customHeight="1" x14ac:dyDescent="0.2">
      <c r="A55" s="2"/>
      <c r="B55" s="18" t="s">
        <v>57</v>
      </c>
      <c r="C55" s="21">
        <f>SUBTOTAL(109,Table6136147158169180202224235[Projected Cost])</f>
        <v>0</v>
      </c>
      <c r="D55" s="21">
        <f>SUBTOTAL(109,Table6136147158169180202224235[Actual Cost])</f>
        <v>0</v>
      </c>
      <c r="E55" s="24">
        <f>SUBTOTAL(109,Table6136147158169180202224235[Difference])</f>
        <v>0</v>
      </c>
      <c r="F55" s="26"/>
      <c r="G55" s="34" t="s">
        <v>55</v>
      </c>
      <c r="H55" s="34"/>
      <c r="I55" s="34"/>
      <c r="J55" s="35">
        <f>SUM(D24,D34,D41,D47,D55,D65,I23,I32,I39,I45,I51)</f>
        <v>0</v>
      </c>
    </row>
    <row r="56" spans="1:10" ht="15.75" customHeight="1" x14ac:dyDescent="0.2">
      <c r="A56" s="2"/>
      <c r="B56" s="31"/>
      <c r="C56" s="31"/>
      <c r="D56" s="31"/>
      <c r="E56" s="31"/>
      <c r="F56" s="26"/>
      <c r="G56" s="34"/>
      <c r="H56" s="34"/>
      <c r="I56" s="34"/>
      <c r="J56" s="35"/>
    </row>
    <row r="57" spans="1:10" ht="15.75" customHeight="1" x14ac:dyDescent="0.2">
      <c r="A57" s="2"/>
      <c r="B57" s="18" t="s">
        <v>51</v>
      </c>
      <c r="C57" s="19" t="s">
        <v>0</v>
      </c>
      <c r="D57" s="19" t="s">
        <v>1</v>
      </c>
      <c r="E57" s="20" t="s">
        <v>2</v>
      </c>
      <c r="F57" s="26"/>
      <c r="G57" s="34" t="s">
        <v>56</v>
      </c>
      <c r="H57" s="34"/>
      <c r="I57" s="34"/>
      <c r="J57" s="35">
        <f>SUM(E24,E34,E41,E47,E55,E65,J23,J32,J39,J45,J51)</f>
        <v>0</v>
      </c>
    </row>
    <row r="58" spans="1:10" ht="15.75" customHeight="1" x14ac:dyDescent="0.2">
      <c r="A58" s="2"/>
      <c r="B58" s="25" t="s">
        <v>20</v>
      </c>
      <c r="C58" s="21"/>
      <c r="D58" s="21"/>
      <c r="E58" s="22">
        <f>Table7143154165176187209231242[[#This Row],[Projected Cost]]-Table7143154165176187209231242[[#This Row],[Actual Cost]]</f>
        <v>0</v>
      </c>
      <c r="F58" s="26"/>
      <c r="G58" s="34"/>
      <c r="H58" s="34"/>
      <c r="I58" s="34"/>
      <c r="J58" s="35"/>
    </row>
    <row r="59" spans="1:10" ht="15.75" customHeight="1" x14ac:dyDescent="0.2">
      <c r="A59" s="2"/>
      <c r="B59" s="25" t="s">
        <v>23</v>
      </c>
      <c r="C59" s="21"/>
      <c r="D59" s="21"/>
      <c r="E59" s="22">
        <f>Table7143154165176187209231242[[#This Row],[Projected Cost]]-Table7143154165176187209231242[[#This Row],[Actual Cost]]</f>
        <v>0</v>
      </c>
      <c r="F59" s="14"/>
    </row>
    <row r="60" spans="1:10" ht="15.75" customHeight="1" x14ac:dyDescent="0.2">
      <c r="A60" s="2"/>
      <c r="B60" s="25" t="s">
        <v>22</v>
      </c>
      <c r="C60" s="21"/>
      <c r="D60" s="21"/>
      <c r="E60" s="22">
        <f>Table7143154165176187209231242[[#This Row],[Projected Cost]]-Table7143154165176187209231242[[#This Row],[Actual Cost]]</f>
        <v>0</v>
      </c>
      <c r="F60" s="14"/>
    </row>
    <row r="61" spans="1:10" ht="15.75" customHeight="1" x14ac:dyDescent="0.2">
      <c r="A61" s="2"/>
      <c r="B61" s="25" t="s">
        <v>28</v>
      </c>
      <c r="C61" s="21"/>
      <c r="D61" s="21"/>
      <c r="E61" s="22">
        <f>Table7143154165176187209231242[[#This Row],[Projected Cost]]-Table7143154165176187209231242[[#This Row],[Actual Cost]]</f>
        <v>0</v>
      </c>
      <c r="F61" s="14"/>
    </row>
    <row r="62" spans="1:10" ht="15.75" customHeight="1" x14ac:dyDescent="0.2">
      <c r="A62" s="2"/>
      <c r="B62" s="25" t="s">
        <v>65</v>
      </c>
      <c r="C62" s="21"/>
      <c r="D62" s="21"/>
      <c r="E62" s="22">
        <f>Table7143154165176187209231242[[#This Row],[Projected Cost]]-Table7143154165176187209231242[[#This Row],[Actual Cost]]</f>
        <v>0</v>
      </c>
      <c r="F62" s="14"/>
    </row>
    <row r="63" spans="1:10" ht="15.75" customHeight="1" x14ac:dyDescent="0.2">
      <c r="A63" s="2"/>
      <c r="B63" s="25" t="s">
        <v>32</v>
      </c>
      <c r="C63" s="21"/>
      <c r="D63" s="21"/>
      <c r="E63" s="22">
        <f>Table7143154165176187209231242[[#This Row],[Projected Cost]]-Table7143154165176187209231242[[#This Row],[Actual Cost]]</f>
        <v>0</v>
      </c>
      <c r="F63" s="14"/>
    </row>
    <row r="64" spans="1:10" ht="15.75" customHeight="1" x14ac:dyDescent="0.2">
      <c r="A64" s="2"/>
      <c r="B64" s="25" t="s">
        <v>10</v>
      </c>
      <c r="C64" s="21"/>
      <c r="D64" s="21"/>
      <c r="E64" s="22">
        <f>Table7143154165176187209231242[[#This Row],[Projected Cost]]-Table7143154165176187209231242[[#This Row],[Actual Cost]]</f>
        <v>0</v>
      </c>
      <c r="F64" s="14"/>
    </row>
    <row r="65" spans="1:6" ht="15.75" customHeight="1" x14ac:dyDescent="0.2">
      <c r="A65" s="2"/>
      <c r="B65" s="18" t="s">
        <v>57</v>
      </c>
      <c r="C65" s="21">
        <f>SUBTOTAL(109,Table7143154165176187209231242[Projected Cost])</f>
        <v>0</v>
      </c>
      <c r="D65" s="21">
        <f>SUBTOTAL(109,Table7143154165176187209231242[Actual Cost])</f>
        <v>0</v>
      </c>
      <c r="E65" s="24">
        <f>SUBTOTAL(109,Table7143154165176187209231242[Difference])</f>
        <v>0</v>
      </c>
      <c r="F65" s="14"/>
    </row>
    <row r="66" spans="1:6" ht="15.75" customHeight="1" x14ac:dyDescent="0.2">
      <c r="B66" t="s">
        <v>70</v>
      </c>
    </row>
  </sheetData>
  <mergeCells count="32">
    <mergeCell ref="B2:J2"/>
    <mergeCell ref="B3:D3"/>
    <mergeCell ref="B4:B7"/>
    <mergeCell ref="C4:D4"/>
    <mergeCell ref="G4:I6"/>
    <mergeCell ref="J4:J6"/>
    <mergeCell ref="C5:D5"/>
    <mergeCell ref="C7:D7"/>
    <mergeCell ref="G7:I9"/>
    <mergeCell ref="J7:J9"/>
    <mergeCell ref="B42:E42"/>
    <mergeCell ref="B8:B11"/>
    <mergeCell ref="C8:D8"/>
    <mergeCell ref="C10:D10"/>
    <mergeCell ref="G10:I11"/>
    <mergeCell ref="G24:J24"/>
    <mergeCell ref="B25:E25"/>
    <mergeCell ref="G33:J33"/>
    <mergeCell ref="B35:E35"/>
    <mergeCell ref="G40:J40"/>
    <mergeCell ref="J10:J11"/>
    <mergeCell ref="C11:D11"/>
    <mergeCell ref="G57:I58"/>
    <mergeCell ref="J57:J58"/>
    <mergeCell ref="G46:J46"/>
    <mergeCell ref="B48:E48"/>
    <mergeCell ref="G52:J52"/>
    <mergeCell ref="G53:I54"/>
    <mergeCell ref="J53:J54"/>
    <mergeCell ref="G55:I56"/>
    <mergeCell ref="J55:J56"/>
    <mergeCell ref="B56:E56"/>
  </mergeCells>
  <conditionalFormatting sqref="E14:E24 E27:E34 E37:E41 E44:E47 E50:E55 E58:E65 J14:J23 J26:J32 J35:J39 J42:J45 J48:J51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FDB6-60E7-4746-9D87-13F8D30F37E4}">
  <sheetPr>
    <pageSetUpPr autoPageBreaks="0" fitToPage="1"/>
  </sheetPr>
  <dimension ref="A1:J66"/>
  <sheetViews>
    <sheetView showGridLines="0" topLeftCell="A37" workbookViewId="0">
      <selection activeCell="J53" sqref="J53:J58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58" t="s">
        <v>34</v>
      </c>
      <c r="C2" s="58"/>
      <c r="D2" s="58"/>
      <c r="E2" s="58"/>
      <c r="F2" s="58"/>
      <c r="G2" s="58"/>
      <c r="H2" s="58"/>
      <c r="I2" s="58"/>
      <c r="J2" s="58"/>
    </row>
    <row r="3" spans="1:10" ht="8.1" customHeight="1" x14ac:dyDescent="0.2">
      <c r="A3" s="2"/>
      <c r="B3" s="43"/>
      <c r="C3" s="43"/>
      <c r="D3" s="43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40" t="s">
        <v>53</v>
      </c>
      <c r="C4" s="38" t="s">
        <v>68</v>
      </c>
      <c r="D4" s="39"/>
      <c r="E4" s="17">
        <v>0</v>
      </c>
      <c r="F4" s="5"/>
      <c r="G4" s="44" t="s">
        <v>58</v>
      </c>
      <c r="H4" s="45"/>
      <c r="I4" s="46"/>
      <c r="J4" s="53">
        <f>E7-J53</f>
        <v>0</v>
      </c>
    </row>
    <row r="5" spans="1:10" ht="15.95" customHeight="1" x14ac:dyDescent="0.2">
      <c r="A5" s="2"/>
      <c r="B5" s="41"/>
      <c r="C5" s="38" t="s">
        <v>69</v>
      </c>
      <c r="D5" s="39"/>
      <c r="E5" s="17">
        <v>0</v>
      </c>
      <c r="F5" s="5"/>
      <c r="G5" s="47"/>
      <c r="H5" s="48"/>
      <c r="I5" s="49"/>
      <c r="J5" s="54"/>
    </row>
    <row r="6" spans="1:10" ht="15.95" customHeight="1" x14ac:dyDescent="0.2">
      <c r="A6" s="2"/>
      <c r="B6" s="41"/>
      <c r="C6" s="27" t="s">
        <v>10</v>
      </c>
      <c r="D6" s="28"/>
      <c r="E6" s="17">
        <v>0</v>
      </c>
      <c r="F6" s="5"/>
      <c r="G6" s="50"/>
      <c r="H6" s="51"/>
      <c r="I6" s="52"/>
      <c r="J6" s="55"/>
    </row>
    <row r="7" spans="1:10" ht="15.95" customHeight="1" x14ac:dyDescent="0.2">
      <c r="A7" s="2"/>
      <c r="B7" s="42"/>
      <c r="C7" s="36" t="s">
        <v>35</v>
      </c>
      <c r="D7" s="37"/>
      <c r="E7" s="30">
        <f>SUM(E4:E6)</f>
        <v>0</v>
      </c>
      <c r="F7" s="5"/>
      <c r="G7" s="44" t="s">
        <v>59</v>
      </c>
      <c r="H7" s="45"/>
      <c r="I7" s="46"/>
      <c r="J7" s="53">
        <f>E11-J55</f>
        <v>0</v>
      </c>
    </row>
    <row r="8" spans="1:10" ht="15.95" customHeight="1" x14ac:dyDescent="0.2">
      <c r="A8" s="2"/>
      <c r="B8" s="40" t="s">
        <v>52</v>
      </c>
      <c r="C8" s="38" t="s">
        <v>68</v>
      </c>
      <c r="D8" s="39"/>
      <c r="E8" s="17">
        <v>0</v>
      </c>
      <c r="F8" s="5"/>
      <c r="G8" s="47"/>
      <c r="H8" s="48"/>
      <c r="I8" s="49"/>
      <c r="J8" s="54"/>
    </row>
    <row r="9" spans="1:10" ht="15.95" customHeight="1" x14ac:dyDescent="0.2">
      <c r="A9" s="2"/>
      <c r="B9" s="41"/>
      <c r="C9" s="27" t="s">
        <v>69</v>
      </c>
      <c r="D9" s="28"/>
      <c r="E9" s="17">
        <v>0</v>
      </c>
      <c r="F9" s="5"/>
      <c r="G9" s="50"/>
      <c r="H9" s="51"/>
      <c r="I9" s="52"/>
      <c r="J9" s="55"/>
    </row>
    <row r="10" spans="1:10" ht="15.95" customHeight="1" x14ac:dyDescent="0.2">
      <c r="A10" s="2"/>
      <c r="B10" s="41"/>
      <c r="C10" s="38" t="s">
        <v>10</v>
      </c>
      <c r="D10" s="39"/>
      <c r="E10" s="17">
        <v>0</v>
      </c>
      <c r="F10" s="5"/>
      <c r="G10" s="34" t="s">
        <v>60</v>
      </c>
      <c r="H10" s="34"/>
      <c r="I10" s="34"/>
      <c r="J10" s="35">
        <f>J7-J4</f>
        <v>0</v>
      </c>
    </row>
    <row r="11" spans="1:10" ht="15.95" customHeight="1" x14ac:dyDescent="0.2">
      <c r="A11" s="2"/>
      <c r="B11" s="42"/>
      <c r="C11" s="36" t="s">
        <v>35</v>
      </c>
      <c r="D11" s="37"/>
      <c r="E11" s="30">
        <f>SUM(E8:E10)</f>
        <v>0</v>
      </c>
      <c r="F11" s="5"/>
      <c r="G11" s="34"/>
      <c r="H11" s="34"/>
      <c r="I11" s="34"/>
      <c r="J11" s="35"/>
    </row>
    <row r="12" spans="1:10" ht="15.95" customHeight="1" x14ac:dyDescent="0.2">
      <c r="A12" s="2"/>
      <c r="B12" s="29"/>
      <c r="C12" s="29"/>
      <c r="D12" s="10"/>
      <c r="E12" s="11"/>
      <c r="F12" s="5"/>
      <c r="G12" s="12"/>
      <c r="H12" s="12"/>
      <c r="I12" s="12"/>
      <c r="J12" s="13"/>
    </row>
    <row r="13" spans="1:10" ht="15.95" customHeight="1" x14ac:dyDescent="0.2">
      <c r="A13" s="2"/>
      <c r="B13" s="18" t="s">
        <v>43</v>
      </c>
      <c r="C13" s="19" t="s">
        <v>0</v>
      </c>
      <c r="D13" s="19" t="s">
        <v>1</v>
      </c>
      <c r="E13" s="20" t="s">
        <v>2</v>
      </c>
      <c r="F13" s="16"/>
      <c r="G13" s="18" t="s">
        <v>44</v>
      </c>
      <c r="H13" s="19" t="s">
        <v>0</v>
      </c>
      <c r="I13" s="19" t="s">
        <v>1</v>
      </c>
      <c r="J13" s="20" t="s">
        <v>2</v>
      </c>
    </row>
    <row r="14" spans="1:10" ht="15.75" customHeight="1" x14ac:dyDescent="0.2">
      <c r="A14" s="2"/>
      <c r="B14" s="25" t="s">
        <v>62</v>
      </c>
      <c r="C14" s="21"/>
      <c r="D14" s="21"/>
      <c r="E14" s="22">
        <f>Table1134145156167178200222233244[[#This Row],[Projected Cost]]-Table1134145156167178200222233244[[#This Row],[Actual Cost]]</f>
        <v>0</v>
      </c>
      <c r="F14" s="26"/>
      <c r="G14" s="25" t="s">
        <v>66</v>
      </c>
      <c r="H14" s="21"/>
      <c r="I14" s="21"/>
      <c r="J14" s="22">
        <f>Table2144155166177188210232243254[[#This Row],[Projected Cost]]-Table2144155166177188210232243254[[#This Row],[Actual Cost]]</f>
        <v>0</v>
      </c>
    </row>
    <row r="15" spans="1:10" ht="15.75" customHeight="1" x14ac:dyDescent="0.2">
      <c r="A15" s="2"/>
      <c r="B15" s="25" t="s">
        <v>3</v>
      </c>
      <c r="C15" s="21"/>
      <c r="D15" s="21"/>
      <c r="E15" s="22">
        <f>Table1134145156167178200222233244[[#This Row],[Projected Cost]]-Table1134145156167178200222233244[[#This Row],[Actual Cost]]</f>
        <v>0</v>
      </c>
      <c r="F15" s="26"/>
      <c r="G15" s="25" t="s">
        <v>61</v>
      </c>
      <c r="H15" s="21"/>
      <c r="I15" s="21"/>
      <c r="J15" s="22">
        <f>Table2144155166177188210232243254[[#This Row],[Projected Cost]]-Table2144155166177188210232243254[[#This Row],[Actual Cost]]</f>
        <v>0</v>
      </c>
    </row>
    <row r="16" spans="1:10" ht="15.75" customHeight="1" x14ac:dyDescent="0.2">
      <c r="A16" s="2"/>
      <c r="B16" s="25" t="s">
        <v>37</v>
      </c>
      <c r="C16" s="21"/>
      <c r="D16" s="21"/>
      <c r="E16" s="22">
        <f>Table1134145156167178200222233244[[#This Row],[Projected Cost]]-Table1134145156167178200222233244[[#This Row],[Actual Cost]]</f>
        <v>0</v>
      </c>
      <c r="F16" s="26"/>
      <c r="G16" s="25" t="s">
        <v>25</v>
      </c>
      <c r="H16" s="21"/>
      <c r="I16" s="21"/>
      <c r="J16" s="22">
        <f>Table2144155166177188210232243254[[#This Row],[Projected Cost]]-Table2144155166177188210232243254[[#This Row],[Actual Cost]]</f>
        <v>0</v>
      </c>
    </row>
    <row r="17" spans="1:10" ht="15.75" customHeight="1" x14ac:dyDescent="0.2">
      <c r="A17" s="2"/>
      <c r="B17" s="25" t="s">
        <v>4</v>
      </c>
      <c r="C17" s="21"/>
      <c r="D17" s="21"/>
      <c r="E17" s="22">
        <f>Table1134145156167178200222233244[[#This Row],[Projected Cost]]-Table1134145156167178200222233244[[#This Row],[Actual Cost]]</f>
        <v>0</v>
      </c>
      <c r="F17" s="26"/>
      <c r="G17" s="25" t="s">
        <v>26</v>
      </c>
      <c r="H17" s="21"/>
      <c r="I17" s="21"/>
      <c r="J17" s="22">
        <f>Table2144155166177188210232243254[[#This Row],[Projected Cost]]-Table2144155166177188210232243254[[#This Row],[Actual Cost]]</f>
        <v>0</v>
      </c>
    </row>
    <row r="18" spans="1:10" ht="15.75" customHeight="1" x14ac:dyDescent="0.2">
      <c r="A18" s="2"/>
      <c r="B18" s="25" t="s">
        <v>5</v>
      </c>
      <c r="C18" s="21"/>
      <c r="D18" s="21"/>
      <c r="E18" s="22">
        <f>Table1134145156167178200222233244[[#This Row],[Projected Cost]]-Table1134145156167178200222233244[[#This Row],[Actual Cost]]</f>
        <v>0</v>
      </c>
      <c r="F18" s="26"/>
      <c r="G18" s="25" t="s">
        <v>39</v>
      </c>
      <c r="H18" s="21"/>
      <c r="I18" s="21"/>
      <c r="J18" s="22">
        <f>Table2144155166177188210232243254[[#This Row],[Projected Cost]]-Table2144155166177188210232243254[[#This Row],[Actual Cost]]</f>
        <v>0</v>
      </c>
    </row>
    <row r="19" spans="1:10" ht="15.75" customHeight="1" x14ac:dyDescent="0.2">
      <c r="A19" s="2"/>
      <c r="B19" s="25" t="s">
        <v>6</v>
      </c>
      <c r="C19" s="21"/>
      <c r="D19" s="21"/>
      <c r="E19" s="22">
        <f>Table1134145156167178200222233244[[#This Row],[Projected Cost]]-Table1134145156167178200222233244[[#This Row],[Actual Cost]]</f>
        <v>0</v>
      </c>
      <c r="F19" s="26"/>
      <c r="G19" s="25" t="s">
        <v>27</v>
      </c>
      <c r="H19" s="21"/>
      <c r="I19" s="21"/>
      <c r="J19" s="22">
        <f>Table2144155166177188210232243254[[#This Row],[Projected Cost]]-Table2144155166177188210232243254[[#This Row],[Actual Cost]]</f>
        <v>0</v>
      </c>
    </row>
    <row r="20" spans="1:10" ht="15.75" customHeight="1" x14ac:dyDescent="0.2">
      <c r="A20" s="2"/>
      <c r="B20" s="25" t="s">
        <v>7</v>
      </c>
      <c r="C20" s="21"/>
      <c r="D20" s="21"/>
      <c r="E20" s="22">
        <f>Table1134145156167178200222233244[[#This Row],[Projected Cost]]-Table1134145156167178200222233244[[#This Row],[Actual Cost]]</f>
        <v>0</v>
      </c>
      <c r="F20" s="26"/>
      <c r="G20" s="25" t="s">
        <v>10</v>
      </c>
      <c r="H20" s="21"/>
      <c r="I20" s="21"/>
      <c r="J20" s="22">
        <f>Table2144155166177188210232243254[[#This Row],[Projected Cost]]-Table2144155166177188210232243254[[#This Row],[Actual Cost]]</f>
        <v>0</v>
      </c>
    </row>
    <row r="21" spans="1:10" ht="15.75" customHeight="1" x14ac:dyDescent="0.2">
      <c r="A21" s="2"/>
      <c r="B21" s="25" t="s">
        <v>8</v>
      </c>
      <c r="C21" s="21"/>
      <c r="D21" s="21"/>
      <c r="E21" s="22">
        <f>Table1134145156167178200222233244[[#This Row],[Projected Cost]]-Table1134145156167178200222233244[[#This Row],[Actual Cost]]</f>
        <v>0</v>
      </c>
      <c r="F21" s="26"/>
      <c r="G21" s="25" t="s">
        <v>10</v>
      </c>
      <c r="H21" s="21"/>
      <c r="I21" s="21"/>
      <c r="J21" s="22">
        <f>Table2144155166177188210232243254[[#This Row],[Projected Cost]]-Table2144155166177188210232243254[[#This Row],[Actual Cost]]</f>
        <v>0</v>
      </c>
    </row>
    <row r="22" spans="1:10" ht="15.75" customHeight="1" x14ac:dyDescent="0.2">
      <c r="A22" s="2"/>
      <c r="B22" s="25" t="s">
        <v>9</v>
      </c>
      <c r="C22" s="21"/>
      <c r="D22" s="21"/>
      <c r="E22" s="22">
        <f>Table1134145156167178200222233244[[#This Row],[Projected Cost]]-Table1134145156167178200222233244[[#This Row],[Actual Cost]]</f>
        <v>0</v>
      </c>
      <c r="F22" s="26"/>
      <c r="G22" s="25" t="s">
        <v>10</v>
      </c>
      <c r="H22" s="21"/>
      <c r="I22" s="21"/>
      <c r="J22" s="22">
        <f>Table2144155166177188210232243254[[#This Row],[Projected Cost]]-Table2144155166177188210232243254[[#This Row],[Actual Cost]]</f>
        <v>0</v>
      </c>
    </row>
    <row r="23" spans="1:10" ht="15.75" customHeight="1" x14ac:dyDescent="0.2">
      <c r="A23" s="2"/>
      <c r="B23" s="25" t="s">
        <v>10</v>
      </c>
      <c r="C23" s="21"/>
      <c r="D23" s="21"/>
      <c r="E23" s="22">
        <f>Table1134145156167178200222233244[[#This Row],[Projected Cost]]-Table1134145156167178200222233244[[#This Row],[Actual Cost]]</f>
        <v>0</v>
      </c>
      <c r="F23" s="26"/>
      <c r="G23" s="18" t="s">
        <v>57</v>
      </c>
      <c r="H23" s="23">
        <f>SUBTOTAL(109,Table2144155166177188210232243254[Projected Cost])</f>
        <v>0</v>
      </c>
      <c r="I23" s="21">
        <f>SUBTOTAL(109,Table2144155166177188210232243254[Actual Cost])</f>
        <v>0</v>
      </c>
      <c r="J23" s="24">
        <f>SUBTOTAL(109,Table2144155166177188210232243254[Difference])</f>
        <v>0</v>
      </c>
    </row>
    <row r="24" spans="1:10" ht="15.75" customHeight="1" x14ac:dyDescent="0.2">
      <c r="A24" s="2"/>
      <c r="B24" s="18" t="s">
        <v>57</v>
      </c>
      <c r="C24" s="21">
        <f>SUBTOTAL(109,Table1134145156167178200222233244[Projected Cost])</f>
        <v>0</v>
      </c>
      <c r="D24" s="21">
        <f>SUBTOTAL(109,Table1134145156167178200222233244[Actual Cost])</f>
        <v>0</v>
      </c>
      <c r="E24" s="24">
        <f>SUBTOTAL(109,Table1134145156167178200222233244[Difference])</f>
        <v>0</v>
      </c>
      <c r="F24" s="26"/>
      <c r="G24" s="32"/>
      <c r="H24" s="32"/>
      <c r="I24" s="32"/>
      <c r="J24" s="32"/>
    </row>
    <row r="25" spans="1:10" ht="15.75" customHeight="1" x14ac:dyDescent="0.2">
      <c r="A25" s="2"/>
      <c r="B25" s="31"/>
      <c r="C25" s="31"/>
      <c r="D25" s="31"/>
      <c r="E25" s="31"/>
      <c r="F25" s="26"/>
      <c r="G25" s="18" t="s">
        <v>67</v>
      </c>
      <c r="H25" s="19" t="s">
        <v>0</v>
      </c>
      <c r="I25" s="19" t="s">
        <v>1</v>
      </c>
      <c r="J25" s="20" t="s">
        <v>2</v>
      </c>
    </row>
    <row r="26" spans="1:10" ht="15.75" customHeight="1" x14ac:dyDescent="0.2">
      <c r="A26" s="2"/>
      <c r="B26" s="18" t="s">
        <v>45</v>
      </c>
      <c r="C26" s="19" t="s">
        <v>0</v>
      </c>
      <c r="D26" s="19" t="s">
        <v>1</v>
      </c>
      <c r="E26" s="20" t="s">
        <v>2</v>
      </c>
      <c r="F26" s="26"/>
      <c r="G26" s="25" t="s">
        <v>29</v>
      </c>
      <c r="H26" s="21"/>
      <c r="I26" s="21"/>
      <c r="J26" s="22">
        <f>Table8141152163174185207229240251[[#This Row],[Projected Cost]]-Table8141152163174185207229240251[[#This Row],[Actual Cost]]</f>
        <v>0</v>
      </c>
    </row>
    <row r="27" spans="1:10" ht="15.75" customHeight="1" x14ac:dyDescent="0.2">
      <c r="A27" s="2"/>
      <c r="B27" s="25" t="s">
        <v>38</v>
      </c>
      <c r="C27" s="21"/>
      <c r="D27" s="21"/>
      <c r="E27" s="22">
        <f>Table3140151162173184206228239250[[#This Row],[Projected Cost]]-Table3140151162173184206228239250[[#This Row],[Actual Cost]]</f>
        <v>0</v>
      </c>
      <c r="F27" s="26"/>
      <c r="G27" s="25" t="s">
        <v>33</v>
      </c>
      <c r="H27" s="21"/>
      <c r="I27" s="21"/>
      <c r="J27" s="22">
        <f>Table8141152163174185207229240251[[#This Row],[Projected Cost]]-Table8141152163174185207229240251[[#This Row],[Actual Cost]]</f>
        <v>0</v>
      </c>
    </row>
    <row r="28" spans="1:10" ht="15.75" customHeight="1" x14ac:dyDescent="0.2">
      <c r="A28" s="2"/>
      <c r="B28" s="25" t="s">
        <v>63</v>
      </c>
      <c r="C28" s="21"/>
      <c r="D28" s="21"/>
      <c r="E28" s="22">
        <f>Table3140151162173184206228239250[[#This Row],[Projected Cost]]-Table3140151162173184206228239250[[#This Row],[Actual Cost]]</f>
        <v>0</v>
      </c>
      <c r="F28" s="26"/>
      <c r="G28" s="25" t="s">
        <v>40</v>
      </c>
      <c r="H28" s="21"/>
      <c r="I28" s="21"/>
      <c r="J28" s="22">
        <f>Table8141152163174185207229240251[[#This Row],[Projected Cost]]-Table8141152163174185207229240251[[#This Row],[Actual Cost]]</f>
        <v>0</v>
      </c>
    </row>
    <row r="29" spans="1:10" ht="15.75" customHeight="1" x14ac:dyDescent="0.2">
      <c r="A29" s="2"/>
      <c r="B29" s="25" t="s">
        <v>11</v>
      </c>
      <c r="C29" s="21"/>
      <c r="D29" s="21"/>
      <c r="E29" s="22">
        <f>Table3140151162173184206228239250[[#This Row],[Projected Cost]]-Table3140151162173184206228239250[[#This Row],[Actual Cost]]</f>
        <v>0</v>
      </c>
      <c r="F29" s="26"/>
      <c r="G29" s="25" t="s">
        <v>40</v>
      </c>
      <c r="H29" s="21"/>
      <c r="I29" s="21"/>
      <c r="J29" s="22">
        <f>Table8141152163174185207229240251[[#This Row],[Projected Cost]]-Table8141152163174185207229240251[[#This Row],[Actual Cost]]</f>
        <v>0</v>
      </c>
    </row>
    <row r="30" spans="1:10" ht="15.75" customHeight="1" x14ac:dyDescent="0.2">
      <c r="A30" s="2"/>
      <c r="B30" s="25" t="s">
        <v>12</v>
      </c>
      <c r="C30" s="21"/>
      <c r="D30" s="21"/>
      <c r="E30" s="22">
        <f>Table3140151162173184206228239250[[#This Row],[Projected Cost]]-Table3140151162173184206228239250[[#This Row],[Actual Cost]]</f>
        <v>0</v>
      </c>
      <c r="F30" s="26"/>
      <c r="G30" s="25" t="s">
        <v>40</v>
      </c>
      <c r="H30" s="21"/>
      <c r="I30" s="21"/>
      <c r="J30" s="22">
        <f>Table8141152163174185207229240251[[#This Row],[Projected Cost]]-Table8141152163174185207229240251[[#This Row],[Actual Cost]]</f>
        <v>0</v>
      </c>
    </row>
    <row r="31" spans="1:10" ht="15.75" customHeight="1" x14ac:dyDescent="0.2">
      <c r="A31" s="2"/>
      <c r="B31" s="25" t="s">
        <v>13</v>
      </c>
      <c r="C31" s="21"/>
      <c r="D31" s="21"/>
      <c r="E31" s="22">
        <f>Table3140151162173184206228239250[[#This Row],[Projected Cost]]-Table3140151162173184206228239250[[#This Row],[Actual Cost]]</f>
        <v>0</v>
      </c>
      <c r="F31" s="26"/>
      <c r="G31" s="25" t="s">
        <v>10</v>
      </c>
      <c r="H31" s="21"/>
      <c r="I31" s="21"/>
      <c r="J31" s="22">
        <f>Table8141152163174185207229240251[[#This Row],[Projected Cost]]-Table8141152163174185207229240251[[#This Row],[Actual Cost]]</f>
        <v>0</v>
      </c>
    </row>
    <row r="32" spans="1:10" ht="15.75" customHeight="1" x14ac:dyDescent="0.2">
      <c r="A32" s="2"/>
      <c r="B32" s="25" t="s">
        <v>14</v>
      </c>
      <c r="C32" s="21"/>
      <c r="D32" s="21"/>
      <c r="E32" s="22">
        <f>Table3140151162173184206228239250[[#This Row],[Projected Cost]]-Table3140151162173184206228239250[[#This Row],[Actual Cost]]</f>
        <v>0</v>
      </c>
      <c r="F32" s="26"/>
      <c r="G32" s="18" t="s">
        <v>57</v>
      </c>
      <c r="H32" s="21">
        <f>SUBTOTAL(109,Table8141152163174185207229240251[Projected Cost])</f>
        <v>0</v>
      </c>
      <c r="I32" s="21">
        <f>SUBTOTAL(109,Table8141152163174185207229240251[Actual Cost])</f>
        <v>0</v>
      </c>
      <c r="J32" s="24">
        <f>SUBTOTAL(109,Table8141152163174185207229240251[Difference])</f>
        <v>0</v>
      </c>
    </row>
    <row r="33" spans="1:10" ht="15.75" customHeight="1" x14ac:dyDescent="0.2">
      <c r="A33" s="2"/>
      <c r="B33" s="25" t="s">
        <v>10</v>
      </c>
      <c r="C33" s="21"/>
      <c r="D33" s="21"/>
      <c r="E33" s="22">
        <f>Table3140151162173184206228239250[[#This Row],[Projected Cost]]-Table3140151162173184206228239250[[#This Row],[Actual Cost]]</f>
        <v>0</v>
      </c>
      <c r="F33" s="26"/>
      <c r="G33" s="31"/>
      <c r="H33" s="31"/>
      <c r="I33" s="31"/>
      <c r="J33" s="31"/>
    </row>
    <row r="34" spans="1:10" ht="15.75" customHeight="1" x14ac:dyDescent="0.2">
      <c r="A34" s="2"/>
      <c r="B34" s="18" t="s">
        <v>57</v>
      </c>
      <c r="C34" s="21">
        <f>SUBTOTAL(109,Table3140151162173184206228239250[Projected Cost])</f>
        <v>0</v>
      </c>
      <c r="D34" s="21">
        <f>SUBTOTAL(109,Table3140151162173184206228239250[Actual Cost])</f>
        <v>0</v>
      </c>
      <c r="E34" s="24">
        <f>SUBTOTAL(109,Table3140151162173184206228239250[Difference])</f>
        <v>0</v>
      </c>
      <c r="F34" s="26"/>
      <c r="G34" s="18" t="s">
        <v>10</v>
      </c>
      <c r="H34" s="19" t="s">
        <v>0</v>
      </c>
      <c r="I34" s="19" t="s">
        <v>1</v>
      </c>
      <c r="J34" s="20" t="s">
        <v>2</v>
      </c>
    </row>
    <row r="35" spans="1:10" ht="15.75" customHeight="1" x14ac:dyDescent="0.2">
      <c r="A35" s="2"/>
      <c r="B35" s="31"/>
      <c r="C35" s="31"/>
      <c r="D35" s="31"/>
      <c r="E35" s="31"/>
      <c r="F35" s="26"/>
      <c r="G35" s="25" t="s">
        <v>10</v>
      </c>
      <c r="H35" s="21"/>
      <c r="I35" s="21"/>
      <c r="J35" s="22">
        <f>Table9139150161172183205227238249[[#This Row],[Projected Cost]]-Table9139150161172183205227238249[[#This Row],[Actual Cost]]</f>
        <v>0</v>
      </c>
    </row>
    <row r="36" spans="1:10" ht="15.75" customHeight="1" x14ac:dyDescent="0.2">
      <c r="A36" s="2"/>
      <c r="B36" s="18" t="s">
        <v>46</v>
      </c>
      <c r="C36" s="19" t="s">
        <v>0</v>
      </c>
      <c r="D36" s="19" t="s">
        <v>1</v>
      </c>
      <c r="E36" s="20" t="s">
        <v>2</v>
      </c>
      <c r="F36" s="26"/>
      <c r="G36" s="25" t="s">
        <v>10</v>
      </c>
      <c r="H36" s="21"/>
      <c r="I36" s="21"/>
      <c r="J36" s="22">
        <f>Table9139150161172183205227238249[[#This Row],[Projected Cost]]-Table9139150161172183205227238249[[#This Row],[Actual Cost]]</f>
        <v>0</v>
      </c>
    </row>
    <row r="37" spans="1:10" ht="15.75" customHeight="1" x14ac:dyDescent="0.2">
      <c r="A37" s="2"/>
      <c r="B37" s="25" t="s">
        <v>64</v>
      </c>
      <c r="C37" s="21"/>
      <c r="D37" s="21"/>
      <c r="E37" s="22">
        <f>Table4135146157168179201223234245[[#This Row],[Projected Cost]]-Table4135146157168179201223234245[[#This Row],[Actual Cost]]</f>
        <v>0</v>
      </c>
      <c r="F37" s="26"/>
      <c r="G37" s="25" t="s">
        <v>10</v>
      </c>
      <c r="H37" s="21"/>
      <c r="I37" s="21"/>
      <c r="J37" s="22">
        <f>Table9139150161172183205227238249[[#This Row],[Projected Cost]]-Table9139150161172183205227238249[[#This Row],[Actual Cost]]</f>
        <v>0</v>
      </c>
    </row>
    <row r="38" spans="1:10" ht="15.75" customHeight="1" x14ac:dyDescent="0.2">
      <c r="A38" s="2"/>
      <c r="B38" s="25" t="s">
        <v>15</v>
      </c>
      <c r="C38" s="21"/>
      <c r="D38" s="21"/>
      <c r="E38" s="22">
        <f>Table4135146157168179201223234245[[#This Row],[Projected Cost]]-Table4135146157168179201223234245[[#This Row],[Actual Cost]]</f>
        <v>0</v>
      </c>
      <c r="F38" s="26"/>
      <c r="G38" s="25" t="s">
        <v>10</v>
      </c>
      <c r="H38" s="21"/>
      <c r="I38" s="21"/>
      <c r="J38" s="22">
        <f>Table9139150161172183205227238249[[#This Row],[Projected Cost]]-Table9139150161172183205227238249[[#This Row],[Actual Cost]]</f>
        <v>0</v>
      </c>
    </row>
    <row r="39" spans="1:10" ht="15.75" customHeight="1" x14ac:dyDescent="0.2">
      <c r="A39" s="2"/>
      <c r="B39" s="25" t="s">
        <v>16</v>
      </c>
      <c r="C39" s="21"/>
      <c r="D39" s="21"/>
      <c r="E39" s="22">
        <f>Table4135146157168179201223234245[[#This Row],[Projected Cost]]-Table4135146157168179201223234245[[#This Row],[Actual Cost]]</f>
        <v>0</v>
      </c>
      <c r="F39" s="26"/>
      <c r="G39" s="18" t="s">
        <v>57</v>
      </c>
      <c r="H39" s="21">
        <f>SUBTOTAL(109,Table9139150161172183205227238249[Projected Cost])</f>
        <v>0</v>
      </c>
      <c r="I39" s="21">
        <f>SUBTOTAL(109,Table9139150161172183205227238249[Actual Cost])</f>
        <v>0</v>
      </c>
      <c r="J39" s="24">
        <f>SUBTOTAL(109,Table9139150161172183205227238249[Difference])</f>
        <v>0</v>
      </c>
    </row>
    <row r="40" spans="1:10" ht="15.75" customHeight="1" x14ac:dyDescent="0.2">
      <c r="A40" s="2"/>
      <c r="B40" s="25" t="s">
        <v>10</v>
      </c>
      <c r="C40" s="21"/>
      <c r="D40" s="21"/>
      <c r="E40" s="22">
        <f>Table4135146157168179201223234245[[#This Row],[Projected Cost]]-Table4135146157168179201223234245[[#This Row],[Actual Cost]]</f>
        <v>0</v>
      </c>
      <c r="F40" s="26"/>
      <c r="G40" s="31"/>
      <c r="H40" s="31"/>
      <c r="I40" s="31"/>
      <c r="J40" s="31"/>
    </row>
    <row r="41" spans="1:10" ht="15.75" customHeight="1" x14ac:dyDescent="0.2">
      <c r="A41" s="2"/>
      <c r="B41" s="18" t="s">
        <v>57</v>
      </c>
      <c r="C41" s="21">
        <f>SUBTOTAL(109,Table4135146157168179201223234245[Projected Cost])</f>
        <v>0</v>
      </c>
      <c r="D41" s="21">
        <f>SUBTOTAL(109,Table4135146157168179201223234245[Actual Cost])</f>
        <v>0</v>
      </c>
      <c r="E41" s="24">
        <f>SUBTOTAL(109,Table4135146157168179201223234245[Difference])</f>
        <v>0</v>
      </c>
      <c r="F41" s="26"/>
      <c r="G41" s="18" t="s">
        <v>48</v>
      </c>
      <c r="H41" s="19" t="s">
        <v>0</v>
      </c>
      <c r="I41" s="19" t="s">
        <v>1</v>
      </c>
      <c r="J41" s="20" t="s">
        <v>2</v>
      </c>
    </row>
    <row r="42" spans="1:10" ht="15.75" customHeight="1" x14ac:dyDescent="0.2">
      <c r="A42" s="2"/>
      <c r="B42" s="31"/>
      <c r="C42" s="31"/>
      <c r="D42" s="31"/>
      <c r="E42" s="31"/>
      <c r="F42" s="26"/>
      <c r="G42" s="25" t="s">
        <v>41</v>
      </c>
      <c r="H42" s="21"/>
      <c r="I42" s="21"/>
      <c r="J42" s="22">
        <f>Table10142153164175186208230241252[[#This Row],[Projected Cost]]-Table10142153164175186208230241252[[#This Row],[Actual Cost]]</f>
        <v>0</v>
      </c>
    </row>
    <row r="43" spans="1:10" ht="15.75" customHeight="1" x14ac:dyDescent="0.2">
      <c r="A43" s="2"/>
      <c r="B43" s="18" t="s">
        <v>47</v>
      </c>
      <c r="C43" s="19" t="s">
        <v>0</v>
      </c>
      <c r="D43" s="19" t="s">
        <v>1</v>
      </c>
      <c r="E43" s="20" t="s">
        <v>2</v>
      </c>
      <c r="F43" s="26"/>
      <c r="G43" s="25" t="s">
        <v>42</v>
      </c>
      <c r="H43" s="21"/>
      <c r="I43" s="21"/>
      <c r="J43" s="22">
        <f>Table10142153164175186208230241252[[#This Row],[Projected Cost]]-Table10142153164175186208230241252[[#This Row],[Actual Cost]]</f>
        <v>0</v>
      </c>
    </row>
    <row r="44" spans="1:10" ht="15.75" customHeight="1" x14ac:dyDescent="0.2">
      <c r="A44" s="2"/>
      <c r="B44" s="25" t="s">
        <v>17</v>
      </c>
      <c r="C44" s="21"/>
      <c r="D44" s="21"/>
      <c r="E44" s="22">
        <f>Table5138149160171182204226237248[[#This Row],[Projected Cost]]-Table5138149160171182204226237248[[#This Row],[Actual Cost]]</f>
        <v>0</v>
      </c>
      <c r="F44" s="26"/>
      <c r="G44" s="25" t="s">
        <v>10</v>
      </c>
      <c r="H44" s="21"/>
      <c r="I44" s="21"/>
      <c r="J44" s="22">
        <f>Table10142153164175186208230241252[[#This Row],[Projected Cost]]-Table10142153164175186208230241252[[#This Row],[Actual Cost]]</f>
        <v>0</v>
      </c>
    </row>
    <row r="45" spans="1:10" ht="15.75" customHeight="1" x14ac:dyDescent="0.2">
      <c r="A45" s="2"/>
      <c r="B45" s="25" t="s">
        <v>24</v>
      </c>
      <c r="C45" s="21"/>
      <c r="D45" s="21"/>
      <c r="E45" s="22">
        <f>Table5138149160171182204226237248[[#This Row],[Projected Cost]]-Table5138149160171182204226237248[[#This Row],[Actual Cost]]</f>
        <v>0</v>
      </c>
      <c r="F45" s="26"/>
      <c r="G45" s="18" t="s">
        <v>57</v>
      </c>
      <c r="H45" s="21">
        <f>SUBTOTAL(109,Table10142153164175186208230241252[Projected Cost])</f>
        <v>0</v>
      </c>
      <c r="I45" s="21">
        <f>SUBTOTAL(109,Table10142153164175186208230241252[Actual Cost])</f>
        <v>0</v>
      </c>
      <c r="J45" s="24">
        <f>SUBTOTAL(109,Table10142153164175186208230241252[Difference])</f>
        <v>0</v>
      </c>
    </row>
    <row r="46" spans="1:10" ht="15.75" customHeight="1" x14ac:dyDescent="0.2">
      <c r="A46" s="2"/>
      <c r="B46" s="25" t="s">
        <v>10</v>
      </c>
      <c r="C46" s="21"/>
      <c r="D46" s="21"/>
      <c r="E46" s="22">
        <f>Table5138149160171182204226237248[[#This Row],[Projected Cost]]-Table5138149160171182204226237248[[#This Row],[Actual Cost]]</f>
        <v>0</v>
      </c>
      <c r="F46" s="26"/>
      <c r="G46" s="31"/>
      <c r="H46" s="31"/>
      <c r="I46" s="31"/>
      <c r="J46" s="31"/>
    </row>
    <row r="47" spans="1:10" ht="15.75" customHeight="1" x14ac:dyDescent="0.2">
      <c r="A47" s="2"/>
      <c r="B47" s="18" t="s">
        <v>57</v>
      </c>
      <c r="C47" s="21">
        <f>SUBTOTAL(109,Table5138149160171182204226237248[Projected Cost])</f>
        <v>0</v>
      </c>
      <c r="D47" s="21">
        <f>SUBTOTAL(109,Table5138149160171182204226237248[Actual Cost])</f>
        <v>0</v>
      </c>
      <c r="E47" s="24">
        <f>SUBTOTAL(109,Table5138149160171182204226237248[Difference])</f>
        <v>0</v>
      </c>
      <c r="F47" s="26"/>
      <c r="G47" s="18" t="s">
        <v>49</v>
      </c>
      <c r="H47" s="19" t="s">
        <v>0</v>
      </c>
      <c r="I47" s="19" t="s">
        <v>1</v>
      </c>
      <c r="J47" s="20" t="s">
        <v>2</v>
      </c>
    </row>
    <row r="48" spans="1:10" ht="15.75" customHeight="1" x14ac:dyDescent="0.2">
      <c r="A48" s="2"/>
      <c r="B48" s="31"/>
      <c r="C48" s="31"/>
      <c r="D48" s="31"/>
      <c r="E48" s="31"/>
      <c r="F48" s="26"/>
      <c r="G48" s="25" t="s">
        <v>30</v>
      </c>
      <c r="H48" s="21"/>
      <c r="I48" s="21"/>
      <c r="J48" s="22">
        <f>Table11137148159170181203225236247[[#This Row],[Projected Cost]]-Table11137148159170181203225236247[[#This Row],[Actual Cost]]</f>
        <v>0</v>
      </c>
    </row>
    <row r="49" spans="1:10" ht="15.75" customHeight="1" x14ac:dyDescent="0.2">
      <c r="A49" s="2"/>
      <c r="B49" s="18" t="s">
        <v>50</v>
      </c>
      <c r="C49" s="19" t="s">
        <v>0</v>
      </c>
      <c r="D49" s="19" t="s">
        <v>1</v>
      </c>
      <c r="E49" s="20" t="s">
        <v>2</v>
      </c>
      <c r="F49" s="26"/>
      <c r="G49" s="25" t="s">
        <v>31</v>
      </c>
      <c r="H49" s="21"/>
      <c r="I49" s="21"/>
      <c r="J49" s="22">
        <f>Table11137148159170181203225236247[[#This Row],[Projected Cost]]-Table11137148159170181203225236247[[#This Row],[Actual Cost]]</f>
        <v>0</v>
      </c>
    </row>
    <row r="50" spans="1:10" ht="15.75" customHeight="1" x14ac:dyDescent="0.2">
      <c r="A50" s="2"/>
      <c r="B50" s="25" t="s">
        <v>18</v>
      </c>
      <c r="C50" s="21"/>
      <c r="D50" s="21"/>
      <c r="E50" s="22">
        <f>Table6136147158169180202224235246[[#This Row],[Projected Cost]]-Table6136147158169180202224235246[[#This Row],[Actual Cost]]</f>
        <v>0</v>
      </c>
      <c r="F50" s="26"/>
      <c r="G50" s="25" t="s">
        <v>36</v>
      </c>
      <c r="H50" s="21"/>
      <c r="I50" s="21"/>
      <c r="J50" s="22">
        <f>Table11137148159170181203225236247[[#This Row],[Projected Cost]]-Table11137148159170181203225236247[[#This Row],[Actual Cost]]</f>
        <v>0</v>
      </c>
    </row>
    <row r="51" spans="1:10" ht="15.75" customHeight="1" x14ac:dyDescent="0.2">
      <c r="A51" s="2"/>
      <c r="B51" s="25" t="s">
        <v>20</v>
      </c>
      <c r="C51" s="21"/>
      <c r="D51" s="21"/>
      <c r="E51" s="22">
        <f>Table6136147158169180202224235246[[#This Row],[Projected Cost]]-Table6136147158169180202224235246[[#This Row],[Actual Cost]]</f>
        <v>0</v>
      </c>
      <c r="F51" s="26"/>
      <c r="G51" s="18" t="s">
        <v>57</v>
      </c>
      <c r="H51" s="21">
        <f>SUBTOTAL(109,Table11137148159170181203225236247[Projected Cost])</f>
        <v>0</v>
      </c>
      <c r="I51" s="21">
        <f>SUBTOTAL(109,Table11137148159170181203225236247[Actual Cost])</f>
        <v>0</v>
      </c>
      <c r="J51" s="24">
        <f>SUBTOTAL(109,Table11137148159170181203225236247[Difference])</f>
        <v>0</v>
      </c>
    </row>
    <row r="52" spans="1:10" ht="15.75" customHeight="1" x14ac:dyDescent="0.2">
      <c r="A52" s="2"/>
      <c r="B52" s="25" t="s">
        <v>21</v>
      </c>
      <c r="C52" s="21"/>
      <c r="D52" s="21"/>
      <c r="E52" s="22">
        <f>Table6136147158169180202224235246[[#This Row],[Projected Cost]]-Table6136147158169180202224235246[[#This Row],[Actual Cost]]</f>
        <v>0</v>
      </c>
      <c r="F52" s="26"/>
      <c r="G52" s="31"/>
      <c r="H52" s="31"/>
      <c r="I52" s="31"/>
      <c r="J52" s="31"/>
    </row>
    <row r="53" spans="1:10" ht="15.75" customHeight="1" x14ac:dyDescent="0.2">
      <c r="A53" s="2"/>
      <c r="B53" s="25" t="s">
        <v>19</v>
      </c>
      <c r="C53" s="21"/>
      <c r="D53" s="21"/>
      <c r="E53" s="22">
        <f>Table6136147158169180202224235246[[#This Row],[Projected Cost]]-Table6136147158169180202224235246[[#This Row],[Actual Cost]]</f>
        <v>0</v>
      </c>
      <c r="F53" s="26"/>
      <c r="G53" s="34" t="s">
        <v>54</v>
      </c>
      <c r="H53" s="34"/>
      <c r="I53" s="34"/>
      <c r="J53" s="35">
        <f>SUM(C24,C34,C41,C47,C55,C65,H23,H32,H39,H45,H51)</f>
        <v>0</v>
      </c>
    </row>
    <row r="54" spans="1:10" ht="15.75" customHeight="1" x14ac:dyDescent="0.2">
      <c r="A54" s="2"/>
      <c r="B54" s="25" t="s">
        <v>10</v>
      </c>
      <c r="C54" s="21"/>
      <c r="D54" s="21"/>
      <c r="E54" s="22">
        <f>Table6136147158169180202224235246[[#This Row],[Projected Cost]]-Table6136147158169180202224235246[[#This Row],[Actual Cost]]</f>
        <v>0</v>
      </c>
      <c r="F54" s="26"/>
      <c r="G54" s="34"/>
      <c r="H54" s="34"/>
      <c r="I54" s="34"/>
      <c r="J54" s="35"/>
    </row>
    <row r="55" spans="1:10" ht="15.75" customHeight="1" x14ac:dyDescent="0.2">
      <c r="A55" s="2"/>
      <c r="B55" s="18" t="s">
        <v>57</v>
      </c>
      <c r="C55" s="21">
        <f>SUBTOTAL(109,Table6136147158169180202224235246[Projected Cost])</f>
        <v>0</v>
      </c>
      <c r="D55" s="21">
        <f>SUBTOTAL(109,Table6136147158169180202224235246[Actual Cost])</f>
        <v>0</v>
      </c>
      <c r="E55" s="24">
        <f>SUBTOTAL(109,Table6136147158169180202224235246[Difference])</f>
        <v>0</v>
      </c>
      <c r="F55" s="26"/>
      <c r="G55" s="34" t="s">
        <v>55</v>
      </c>
      <c r="H55" s="34"/>
      <c r="I55" s="34"/>
      <c r="J55" s="35">
        <f>SUM(D24,D34,D41,D47,D55,D65,I23,I32,I39,I45,I51)</f>
        <v>0</v>
      </c>
    </row>
    <row r="56" spans="1:10" ht="15.75" customHeight="1" x14ac:dyDescent="0.2">
      <c r="A56" s="2"/>
      <c r="B56" s="31"/>
      <c r="C56" s="31"/>
      <c r="D56" s="31"/>
      <c r="E56" s="31"/>
      <c r="F56" s="26"/>
      <c r="G56" s="34"/>
      <c r="H56" s="34"/>
      <c r="I56" s="34"/>
      <c r="J56" s="35"/>
    </row>
    <row r="57" spans="1:10" ht="15.75" customHeight="1" x14ac:dyDescent="0.2">
      <c r="A57" s="2"/>
      <c r="B57" s="18" t="s">
        <v>51</v>
      </c>
      <c r="C57" s="19" t="s">
        <v>0</v>
      </c>
      <c r="D57" s="19" t="s">
        <v>1</v>
      </c>
      <c r="E57" s="20" t="s">
        <v>2</v>
      </c>
      <c r="F57" s="26"/>
      <c r="G57" s="34" t="s">
        <v>56</v>
      </c>
      <c r="H57" s="34"/>
      <c r="I57" s="34"/>
      <c r="J57" s="35">
        <f>SUM(E24,E34,E41,E47,E55,E65,J23,J32,J39,J45,J51)</f>
        <v>0</v>
      </c>
    </row>
    <row r="58" spans="1:10" ht="15.75" customHeight="1" x14ac:dyDescent="0.2">
      <c r="A58" s="2"/>
      <c r="B58" s="25" t="s">
        <v>20</v>
      </c>
      <c r="C58" s="21"/>
      <c r="D58" s="21"/>
      <c r="E58" s="22">
        <f>Table7143154165176187209231242253[[#This Row],[Projected Cost]]-Table7143154165176187209231242253[[#This Row],[Actual Cost]]</f>
        <v>0</v>
      </c>
      <c r="F58" s="26"/>
      <c r="G58" s="34"/>
      <c r="H58" s="34"/>
      <c r="I58" s="34"/>
      <c r="J58" s="35"/>
    </row>
    <row r="59" spans="1:10" ht="15.75" customHeight="1" x14ac:dyDescent="0.2">
      <c r="A59" s="2"/>
      <c r="B59" s="25" t="s">
        <v>23</v>
      </c>
      <c r="C59" s="21"/>
      <c r="D59" s="21"/>
      <c r="E59" s="22">
        <f>Table7143154165176187209231242253[[#This Row],[Projected Cost]]-Table7143154165176187209231242253[[#This Row],[Actual Cost]]</f>
        <v>0</v>
      </c>
      <c r="F59" s="14"/>
    </row>
    <row r="60" spans="1:10" ht="15.75" customHeight="1" x14ac:dyDescent="0.2">
      <c r="A60" s="2"/>
      <c r="B60" s="25" t="s">
        <v>22</v>
      </c>
      <c r="C60" s="21"/>
      <c r="D60" s="21"/>
      <c r="E60" s="22">
        <f>Table7143154165176187209231242253[[#This Row],[Projected Cost]]-Table7143154165176187209231242253[[#This Row],[Actual Cost]]</f>
        <v>0</v>
      </c>
      <c r="F60" s="14"/>
    </row>
    <row r="61" spans="1:10" ht="15.75" customHeight="1" x14ac:dyDescent="0.2">
      <c r="A61" s="2"/>
      <c r="B61" s="25" t="s">
        <v>28</v>
      </c>
      <c r="C61" s="21"/>
      <c r="D61" s="21"/>
      <c r="E61" s="22">
        <f>Table7143154165176187209231242253[[#This Row],[Projected Cost]]-Table7143154165176187209231242253[[#This Row],[Actual Cost]]</f>
        <v>0</v>
      </c>
      <c r="F61" s="14"/>
    </row>
    <row r="62" spans="1:10" ht="15.75" customHeight="1" x14ac:dyDescent="0.2">
      <c r="A62" s="2"/>
      <c r="B62" s="25" t="s">
        <v>65</v>
      </c>
      <c r="C62" s="21"/>
      <c r="D62" s="21"/>
      <c r="E62" s="22">
        <f>Table7143154165176187209231242253[[#This Row],[Projected Cost]]-Table7143154165176187209231242253[[#This Row],[Actual Cost]]</f>
        <v>0</v>
      </c>
      <c r="F62" s="14"/>
    </row>
    <row r="63" spans="1:10" ht="15.75" customHeight="1" x14ac:dyDescent="0.2">
      <c r="A63" s="2"/>
      <c r="B63" s="25" t="s">
        <v>32</v>
      </c>
      <c r="C63" s="21"/>
      <c r="D63" s="21"/>
      <c r="E63" s="22">
        <f>Table7143154165176187209231242253[[#This Row],[Projected Cost]]-Table7143154165176187209231242253[[#This Row],[Actual Cost]]</f>
        <v>0</v>
      </c>
      <c r="F63" s="14"/>
    </row>
    <row r="64" spans="1:10" ht="15.75" customHeight="1" x14ac:dyDescent="0.2">
      <c r="A64" s="2"/>
      <c r="B64" s="25" t="s">
        <v>10</v>
      </c>
      <c r="C64" s="21"/>
      <c r="D64" s="21"/>
      <c r="E64" s="22">
        <f>Table7143154165176187209231242253[[#This Row],[Projected Cost]]-Table7143154165176187209231242253[[#This Row],[Actual Cost]]</f>
        <v>0</v>
      </c>
      <c r="F64" s="14"/>
    </row>
    <row r="65" spans="1:6" ht="15.75" customHeight="1" x14ac:dyDescent="0.2">
      <c r="A65" s="2"/>
      <c r="B65" s="18" t="s">
        <v>57</v>
      </c>
      <c r="C65" s="21">
        <f>SUBTOTAL(109,Table7143154165176187209231242253[Projected Cost])</f>
        <v>0</v>
      </c>
      <c r="D65" s="21">
        <f>SUBTOTAL(109,Table7143154165176187209231242253[Actual Cost])</f>
        <v>0</v>
      </c>
      <c r="E65" s="24">
        <f>SUBTOTAL(109,Table7143154165176187209231242253[Difference])</f>
        <v>0</v>
      </c>
      <c r="F65" s="14"/>
    </row>
    <row r="66" spans="1:6" ht="15.75" customHeight="1" x14ac:dyDescent="0.2">
      <c r="B66" t="s">
        <v>70</v>
      </c>
    </row>
  </sheetData>
  <mergeCells count="32">
    <mergeCell ref="B2:J2"/>
    <mergeCell ref="B3:D3"/>
    <mergeCell ref="B4:B7"/>
    <mergeCell ref="C4:D4"/>
    <mergeCell ref="G4:I6"/>
    <mergeCell ref="J4:J6"/>
    <mergeCell ref="C5:D5"/>
    <mergeCell ref="C7:D7"/>
    <mergeCell ref="G7:I9"/>
    <mergeCell ref="J7:J9"/>
    <mergeCell ref="B42:E42"/>
    <mergeCell ref="B8:B11"/>
    <mergeCell ref="C8:D8"/>
    <mergeCell ref="C10:D10"/>
    <mergeCell ref="G10:I11"/>
    <mergeCell ref="G24:J24"/>
    <mergeCell ref="B25:E25"/>
    <mergeCell ref="G33:J33"/>
    <mergeCell ref="B35:E35"/>
    <mergeCell ref="G40:J40"/>
    <mergeCell ref="J10:J11"/>
    <mergeCell ref="C11:D11"/>
    <mergeCell ref="G57:I58"/>
    <mergeCell ref="J57:J58"/>
    <mergeCell ref="G46:J46"/>
    <mergeCell ref="B48:E48"/>
    <mergeCell ref="G52:J52"/>
    <mergeCell ref="G53:I54"/>
    <mergeCell ref="J53:J54"/>
    <mergeCell ref="G55:I56"/>
    <mergeCell ref="J55:J56"/>
    <mergeCell ref="B56:E56"/>
  </mergeCells>
  <conditionalFormatting sqref="E14:E24 E27:E34 E37:E41 E44:E47 E50:E55 E58:E65 J14:J23 J26:J32 J35:J39 J42:J45 J48:J51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0742-A0D4-4A91-94DA-C7FD2CC195B5}">
  <sheetPr>
    <pageSetUpPr autoPageBreaks="0" fitToPage="1"/>
  </sheetPr>
  <dimension ref="A1:J66"/>
  <sheetViews>
    <sheetView showGridLines="0" topLeftCell="A28" workbookViewId="0">
      <selection activeCell="J53" sqref="J53:J58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3" t="s">
        <v>34</v>
      </c>
      <c r="C2" s="33"/>
      <c r="D2" s="33"/>
      <c r="E2" s="33"/>
      <c r="F2" s="33"/>
      <c r="G2" s="33"/>
      <c r="H2" s="33"/>
      <c r="I2" s="33"/>
      <c r="J2" s="33"/>
    </row>
    <row r="3" spans="1:10" ht="8.1" customHeight="1" x14ac:dyDescent="0.2">
      <c r="A3" s="2"/>
      <c r="B3" s="43"/>
      <c r="C3" s="43"/>
      <c r="D3" s="43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40" t="s">
        <v>53</v>
      </c>
      <c r="C4" s="38" t="s">
        <v>68</v>
      </c>
      <c r="D4" s="39"/>
      <c r="E4" s="17">
        <v>0</v>
      </c>
      <c r="F4" s="5"/>
      <c r="G4" s="44" t="s">
        <v>58</v>
      </c>
      <c r="H4" s="45"/>
      <c r="I4" s="46"/>
      <c r="J4" s="53">
        <f>E7-J53</f>
        <v>0</v>
      </c>
    </row>
    <row r="5" spans="1:10" ht="15.95" customHeight="1" x14ac:dyDescent="0.2">
      <c r="A5" s="2"/>
      <c r="B5" s="41"/>
      <c r="C5" s="38" t="s">
        <v>69</v>
      </c>
      <c r="D5" s="39"/>
      <c r="E5" s="17">
        <v>0</v>
      </c>
      <c r="F5" s="5"/>
      <c r="G5" s="47"/>
      <c r="H5" s="48"/>
      <c r="I5" s="49"/>
      <c r="J5" s="54"/>
    </row>
    <row r="6" spans="1:10" ht="15.95" customHeight="1" x14ac:dyDescent="0.2">
      <c r="A6" s="2"/>
      <c r="B6" s="41"/>
      <c r="C6" s="27" t="s">
        <v>10</v>
      </c>
      <c r="D6" s="28"/>
      <c r="E6" s="17">
        <v>0</v>
      </c>
      <c r="F6" s="5"/>
      <c r="G6" s="50"/>
      <c r="H6" s="51"/>
      <c r="I6" s="52"/>
      <c r="J6" s="55"/>
    </row>
    <row r="7" spans="1:10" ht="15.95" customHeight="1" x14ac:dyDescent="0.2">
      <c r="A7" s="2"/>
      <c r="B7" s="42"/>
      <c r="C7" s="36" t="s">
        <v>35</v>
      </c>
      <c r="D7" s="37"/>
      <c r="E7" s="30">
        <f>SUM(E4:E6)</f>
        <v>0</v>
      </c>
      <c r="F7" s="5"/>
      <c r="G7" s="44" t="s">
        <v>59</v>
      </c>
      <c r="H7" s="45"/>
      <c r="I7" s="46"/>
      <c r="J7" s="53">
        <f>E11-J55</f>
        <v>0</v>
      </c>
    </row>
    <row r="8" spans="1:10" ht="15.95" customHeight="1" x14ac:dyDescent="0.2">
      <c r="A8" s="2"/>
      <c r="B8" s="40" t="s">
        <v>52</v>
      </c>
      <c r="C8" s="38" t="s">
        <v>68</v>
      </c>
      <c r="D8" s="39"/>
      <c r="E8" s="17">
        <v>0</v>
      </c>
      <c r="F8" s="5"/>
      <c r="G8" s="47"/>
      <c r="H8" s="48"/>
      <c r="I8" s="49"/>
      <c r="J8" s="54"/>
    </row>
    <row r="9" spans="1:10" ht="15.95" customHeight="1" x14ac:dyDescent="0.2">
      <c r="A9" s="2"/>
      <c r="B9" s="41"/>
      <c r="C9" s="27" t="s">
        <v>69</v>
      </c>
      <c r="D9" s="28"/>
      <c r="E9" s="17">
        <v>0</v>
      </c>
      <c r="F9" s="5"/>
      <c r="G9" s="50"/>
      <c r="H9" s="51"/>
      <c r="I9" s="52"/>
      <c r="J9" s="55"/>
    </row>
    <row r="10" spans="1:10" ht="15.95" customHeight="1" x14ac:dyDescent="0.2">
      <c r="A10" s="2"/>
      <c r="B10" s="41"/>
      <c r="C10" s="38" t="s">
        <v>10</v>
      </c>
      <c r="D10" s="39"/>
      <c r="E10" s="17">
        <v>0</v>
      </c>
      <c r="F10" s="5"/>
      <c r="G10" s="34" t="s">
        <v>60</v>
      </c>
      <c r="H10" s="34"/>
      <c r="I10" s="34"/>
      <c r="J10" s="35">
        <f>J7-J4</f>
        <v>0</v>
      </c>
    </row>
    <row r="11" spans="1:10" ht="15.95" customHeight="1" x14ac:dyDescent="0.2">
      <c r="A11" s="2"/>
      <c r="B11" s="42"/>
      <c r="C11" s="36" t="s">
        <v>35</v>
      </c>
      <c r="D11" s="37"/>
      <c r="E11" s="30">
        <f>SUM(E8:E10)</f>
        <v>0</v>
      </c>
      <c r="F11" s="5"/>
      <c r="G11" s="34"/>
      <c r="H11" s="34"/>
      <c r="I11" s="34"/>
      <c r="J11" s="35"/>
    </row>
    <row r="12" spans="1:10" ht="15.95" customHeight="1" x14ac:dyDescent="0.2">
      <c r="A12" s="2"/>
      <c r="B12" s="29"/>
      <c r="C12" s="29"/>
      <c r="D12" s="10"/>
      <c r="E12" s="11"/>
      <c r="F12" s="5"/>
      <c r="G12" s="12"/>
      <c r="H12" s="12"/>
      <c r="I12" s="12"/>
      <c r="J12" s="13"/>
    </row>
    <row r="13" spans="1:10" ht="15.95" customHeight="1" x14ac:dyDescent="0.2">
      <c r="A13" s="2"/>
      <c r="B13" s="18" t="s">
        <v>43</v>
      </c>
      <c r="C13" s="19" t="s">
        <v>0</v>
      </c>
      <c r="D13" s="19" t="s">
        <v>1</v>
      </c>
      <c r="E13" s="20" t="s">
        <v>2</v>
      </c>
      <c r="F13" s="16"/>
      <c r="G13" s="18" t="s">
        <v>44</v>
      </c>
      <c r="H13" s="19" t="s">
        <v>0</v>
      </c>
      <c r="I13" s="19" t="s">
        <v>1</v>
      </c>
      <c r="J13" s="20" t="s">
        <v>2</v>
      </c>
    </row>
    <row r="14" spans="1:10" ht="15.75" customHeight="1" x14ac:dyDescent="0.2">
      <c r="A14" s="2"/>
      <c r="B14" s="25" t="s">
        <v>62</v>
      </c>
      <c r="C14" s="21"/>
      <c r="D14" s="21"/>
      <c r="E14" s="22">
        <f>Table1134[[#This Row],[Projected Cost]]-Table1134[[#This Row],[Actual Cost]]</f>
        <v>0</v>
      </c>
      <c r="F14" s="26"/>
      <c r="G14" s="25" t="s">
        <v>66</v>
      </c>
      <c r="H14" s="21"/>
      <c r="I14" s="21"/>
      <c r="J14" s="22">
        <f>Table2144[[#This Row],[Projected Cost]]-Table2144[[#This Row],[Actual Cost]]</f>
        <v>0</v>
      </c>
    </row>
    <row r="15" spans="1:10" ht="15.75" customHeight="1" x14ac:dyDescent="0.2">
      <c r="A15" s="2"/>
      <c r="B15" s="25" t="s">
        <v>3</v>
      </c>
      <c r="C15" s="21"/>
      <c r="D15" s="21"/>
      <c r="E15" s="22">
        <f>Table1134[[#This Row],[Projected Cost]]-Table1134[[#This Row],[Actual Cost]]</f>
        <v>0</v>
      </c>
      <c r="F15" s="26"/>
      <c r="G15" s="25" t="s">
        <v>61</v>
      </c>
      <c r="H15" s="21"/>
      <c r="I15" s="21"/>
      <c r="J15" s="22">
        <f>Table2144[[#This Row],[Projected Cost]]-Table2144[[#This Row],[Actual Cost]]</f>
        <v>0</v>
      </c>
    </row>
    <row r="16" spans="1:10" ht="15.75" customHeight="1" x14ac:dyDescent="0.2">
      <c r="A16" s="2"/>
      <c r="B16" s="25" t="s">
        <v>37</v>
      </c>
      <c r="C16" s="21"/>
      <c r="D16" s="21"/>
      <c r="E16" s="22">
        <f>Table1134[[#This Row],[Projected Cost]]-Table1134[[#This Row],[Actual Cost]]</f>
        <v>0</v>
      </c>
      <c r="F16" s="26"/>
      <c r="G16" s="25" t="s">
        <v>25</v>
      </c>
      <c r="H16" s="21"/>
      <c r="I16" s="21"/>
      <c r="J16" s="22">
        <f>Table2144[[#This Row],[Projected Cost]]-Table2144[[#This Row],[Actual Cost]]</f>
        <v>0</v>
      </c>
    </row>
    <row r="17" spans="1:10" ht="15.75" customHeight="1" x14ac:dyDescent="0.2">
      <c r="A17" s="2"/>
      <c r="B17" s="25" t="s">
        <v>4</v>
      </c>
      <c r="C17" s="21"/>
      <c r="D17" s="21"/>
      <c r="E17" s="22">
        <f>Table1134[[#This Row],[Projected Cost]]-Table1134[[#This Row],[Actual Cost]]</f>
        <v>0</v>
      </c>
      <c r="F17" s="26"/>
      <c r="G17" s="25" t="s">
        <v>26</v>
      </c>
      <c r="H17" s="21"/>
      <c r="I17" s="21"/>
      <c r="J17" s="22">
        <f>Table2144[[#This Row],[Projected Cost]]-Table2144[[#This Row],[Actual Cost]]</f>
        <v>0</v>
      </c>
    </row>
    <row r="18" spans="1:10" ht="15.75" customHeight="1" x14ac:dyDescent="0.2">
      <c r="A18" s="2"/>
      <c r="B18" s="25" t="s">
        <v>5</v>
      </c>
      <c r="C18" s="21"/>
      <c r="D18" s="21"/>
      <c r="E18" s="22">
        <f>Table1134[[#This Row],[Projected Cost]]-Table1134[[#This Row],[Actual Cost]]</f>
        <v>0</v>
      </c>
      <c r="F18" s="26"/>
      <c r="G18" s="25" t="s">
        <v>39</v>
      </c>
      <c r="H18" s="21"/>
      <c r="I18" s="21"/>
      <c r="J18" s="22">
        <f>Table2144[[#This Row],[Projected Cost]]-Table2144[[#This Row],[Actual Cost]]</f>
        <v>0</v>
      </c>
    </row>
    <row r="19" spans="1:10" ht="15.75" customHeight="1" x14ac:dyDescent="0.2">
      <c r="A19" s="2"/>
      <c r="B19" s="25" t="s">
        <v>6</v>
      </c>
      <c r="C19" s="21"/>
      <c r="D19" s="21"/>
      <c r="E19" s="22">
        <f>Table1134[[#This Row],[Projected Cost]]-Table1134[[#This Row],[Actual Cost]]</f>
        <v>0</v>
      </c>
      <c r="F19" s="26"/>
      <c r="G19" s="25" t="s">
        <v>27</v>
      </c>
      <c r="H19" s="21"/>
      <c r="I19" s="21"/>
      <c r="J19" s="22">
        <f>Table2144[[#This Row],[Projected Cost]]-Table2144[[#This Row],[Actual Cost]]</f>
        <v>0</v>
      </c>
    </row>
    <row r="20" spans="1:10" ht="15.75" customHeight="1" x14ac:dyDescent="0.2">
      <c r="A20" s="2"/>
      <c r="B20" s="25" t="s">
        <v>7</v>
      </c>
      <c r="C20" s="21"/>
      <c r="D20" s="21"/>
      <c r="E20" s="22">
        <f>Table1134[[#This Row],[Projected Cost]]-Table1134[[#This Row],[Actual Cost]]</f>
        <v>0</v>
      </c>
      <c r="F20" s="26"/>
      <c r="G20" s="25" t="s">
        <v>10</v>
      </c>
      <c r="H20" s="21"/>
      <c r="I20" s="21"/>
      <c r="J20" s="22">
        <f>Table2144[[#This Row],[Projected Cost]]-Table2144[[#This Row],[Actual Cost]]</f>
        <v>0</v>
      </c>
    </row>
    <row r="21" spans="1:10" ht="15.75" customHeight="1" x14ac:dyDescent="0.2">
      <c r="A21" s="2"/>
      <c r="B21" s="25" t="s">
        <v>8</v>
      </c>
      <c r="C21" s="21"/>
      <c r="D21" s="21"/>
      <c r="E21" s="22">
        <f>Table1134[[#This Row],[Projected Cost]]-Table1134[[#This Row],[Actual Cost]]</f>
        <v>0</v>
      </c>
      <c r="F21" s="26"/>
      <c r="G21" s="25" t="s">
        <v>10</v>
      </c>
      <c r="H21" s="21"/>
      <c r="I21" s="21"/>
      <c r="J21" s="22">
        <f>Table2144[[#This Row],[Projected Cost]]-Table2144[[#This Row],[Actual Cost]]</f>
        <v>0</v>
      </c>
    </row>
    <row r="22" spans="1:10" ht="15.75" customHeight="1" x14ac:dyDescent="0.2">
      <c r="A22" s="2"/>
      <c r="B22" s="25" t="s">
        <v>9</v>
      </c>
      <c r="C22" s="21"/>
      <c r="D22" s="21"/>
      <c r="E22" s="22">
        <f>Table1134[[#This Row],[Projected Cost]]-Table1134[[#This Row],[Actual Cost]]</f>
        <v>0</v>
      </c>
      <c r="F22" s="26"/>
      <c r="G22" s="25" t="s">
        <v>10</v>
      </c>
      <c r="H22" s="21"/>
      <c r="I22" s="21"/>
      <c r="J22" s="22">
        <f>Table2144[[#This Row],[Projected Cost]]-Table2144[[#This Row],[Actual Cost]]</f>
        <v>0</v>
      </c>
    </row>
    <row r="23" spans="1:10" ht="15.75" customHeight="1" x14ac:dyDescent="0.2">
      <c r="A23" s="2"/>
      <c r="B23" s="25" t="s">
        <v>10</v>
      </c>
      <c r="C23" s="21"/>
      <c r="D23" s="21"/>
      <c r="E23" s="22">
        <f>Table1134[[#This Row],[Projected Cost]]-Table1134[[#This Row],[Actual Cost]]</f>
        <v>0</v>
      </c>
      <c r="F23" s="26"/>
      <c r="G23" s="18" t="s">
        <v>57</v>
      </c>
      <c r="H23" s="23">
        <f>SUBTOTAL(109,Table2144[Projected Cost])</f>
        <v>0</v>
      </c>
      <c r="I23" s="21">
        <f>SUBTOTAL(109,Table2144[Actual Cost])</f>
        <v>0</v>
      </c>
      <c r="J23" s="24">
        <f>SUBTOTAL(109,Table2144[Difference])</f>
        <v>0</v>
      </c>
    </row>
    <row r="24" spans="1:10" ht="15.75" customHeight="1" x14ac:dyDescent="0.2">
      <c r="A24" s="2"/>
      <c r="B24" s="18" t="s">
        <v>57</v>
      </c>
      <c r="C24" s="21">
        <f>SUBTOTAL(109,Table1134[Projected Cost])</f>
        <v>0</v>
      </c>
      <c r="D24" s="21">
        <f>SUBTOTAL(109,Table1134[Actual Cost])</f>
        <v>0</v>
      </c>
      <c r="E24" s="24">
        <f>SUBTOTAL(109,Table1134[Difference])</f>
        <v>0</v>
      </c>
      <c r="F24" s="26"/>
      <c r="G24" s="32"/>
      <c r="H24" s="32"/>
      <c r="I24" s="32"/>
      <c r="J24" s="32"/>
    </row>
    <row r="25" spans="1:10" ht="15.75" customHeight="1" x14ac:dyDescent="0.2">
      <c r="A25" s="2"/>
      <c r="B25" s="31"/>
      <c r="C25" s="31"/>
      <c r="D25" s="31"/>
      <c r="E25" s="31"/>
      <c r="F25" s="26"/>
      <c r="G25" s="18" t="s">
        <v>67</v>
      </c>
      <c r="H25" s="19" t="s">
        <v>0</v>
      </c>
      <c r="I25" s="19" t="s">
        <v>1</v>
      </c>
      <c r="J25" s="20" t="s">
        <v>2</v>
      </c>
    </row>
    <row r="26" spans="1:10" ht="15.75" customHeight="1" x14ac:dyDescent="0.2">
      <c r="A26" s="2"/>
      <c r="B26" s="18" t="s">
        <v>45</v>
      </c>
      <c r="C26" s="19" t="s">
        <v>0</v>
      </c>
      <c r="D26" s="19" t="s">
        <v>1</v>
      </c>
      <c r="E26" s="20" t="s">
        <v>2</v>
      </c>
      <c r="F26" s="26"/>
      <c r="G26" s="25" t="s">
        <v>29</v>
      </c>
      <c r="H26" s="21"/>
      <c r="I26" s="21"/>
      <c r="J26" s="22">
        <f>Table8141[[#This Row],[Projected Cost]]-Table8141[[#This Row],[Actual Cost]]</f>
        <v>0</v>
      </c>
    </row>
    <row r="27" spans="1:10" ht="15.75" customHeight="1" x14ac:dyDescent="0.2">
      <c r="A27" s="2"/>
      <c r="B27" s="25" t="s">
        <v>38</v>
      </c>
      <c r="C27" s="21"/>
      <c r="D27" s="21"/>
      <c r="E27" s="22">
        <f>Table3140[[#This Row],[Projected Cost]]-Table3140[[#This Row],[Actual Cost]]</f>
        <v>0</v>
      </c>
      <c r="F27" s="26"/>
      <c r="G27" s="25" t="s">
        <v>33</v>
      </c>
      <c r="H27" s="21"/>
      <c r="I27" s="21"/>
      <c r="J27" s="22">
        <f>Table8141[[#This Row],[Projected Cost]]-Table8141[[#This Row],[Actual Cost]]</f>
        <v>0</v>
      </c>
    </row>
    <row r="28" spans="1:10" ht="15.75" customHeight="1" x14ac:dyDescent="0.2">
      <c r="A28" s="2"/>
      <c r="B28" s="25" t="s">
        <v>63</v>
      </c>
      <c r="C28" s="21"/>
      <c r="D28" s="21"/>
      <c r="E28" s="22">
        <f>Table3140[[#This Row],[Projected Cost]]-Table3140[[#This Row],[Actual Cost]]</f>
        <v>0</v>
      </c>
      <c r="F28" s="26"/>
      <c r="G28" s="25" t="s">
        <v>40</v>
      </c>
      <c r="H28" s="21"/>
      <c r="I28" s="21"/>
      <c r="J28" s="22">
        <f>Table8141[[#This Row],[Projected Cost]]-Table8141[[#This Row],[Actual Cost]]</f>
        <v>0</v>
      </c>
    </row>
    <row r="29" spans="1:10" ht="15.75" customHeight="1" x14ac:dyDescent="0.2">
      <c r="A29" s="2"/>
      <c r="B29" s="25" t="s">
        <v>11</v>
      </c>
      <c r="C29" s="21"/>
      <c r="D29" s="21"/>
      <c r="E29" s="22">
        <f>Table3140[[#This Row],[Projected Cost]]-Table3140[[#This Row],[Actual Cost]]</f>
        <v>0</v>
      </c>
      <c r="F29" s="26"/>
      <c r="G29" s="25" t="s">
        <v>40</v>
      </c>
      <c r="H29" s="21"/>
      <c r="I29" s="21"/>
      <c r="J29" s="22">
        <f>Table8141[[#This Row],[Projected Cost]]-Table8141[[#This Row],[Actual Cost]]</f>
        <v>0</v>
      </c>
    </row>
    <row r="30" spans="1:10" ht="15.75" customHeight="1" x14ac:dyDescent="0.2">
      <c r="A30" s="2"/>
      <c r="B30" s="25" t="s">
        <v>12</v>
      </c>
      <c r="C30" s="21"/>
      <c r="D30" s="21"/>
      <c r="E30" s="22">
        <f>Table3140[[#This Row],[Projected Cost]]-Table3140[[#This Row],[Actual Cost]]</f>
        <v>0</v>
      </c>
      <c r="F30" s="26"/>
      <c r="G30" s="25" t="s">
        <v>40</v>
      </c>
      <c r="H30" s="21"/>
      <c r="I30" s="21"/>
      <c r="J30" s="22">
        <f>Table8141[[#This Row],[Projected Cost]]-Table8141[[#This Row],[Actual Cost]]</f>
        <v>0</v>
      </c>
    </row>
    <row r="31" spans="1:10" ht="15.75" customHeight="1" x14ac:dyDescent="0.2">
      <c r="A31" s="2"/>
      <c r="B31" s="25" t="s">
        <v>13</v>
      </c>
      <c r="C31" s="21"/>
      <c r="D31" s="21"/>
      <c r="E31" s="22">
        <f>Table3140[[#This Row],[Projected Cost]]-Table3140[[#This Row],[Actual Cost]]</f>
        <v>0</v>
      </c>
      <c r="F31" s="26"/>
      <c r="G31" s="25" t="s">
        <v>10</v>
      </c>
      <c r="H31" s="21"/>
      <c r="I31" s="21"/>
      <c r="J31" s="22">
        <f>Table8141[[#This Row],[Projected Cost]]-Table8141[[#This Row],[Actual Cost]]</f>
        <v>0</v>
      </c>
    </row>
    <row r="32" spans="1:10" ht="15.75" customHeight="1" x14ac:dyDescent="0.2">
      <c r="A32" s="2"/>
      <c r="B32" s="25" t="s">
        <v>14</v>
      </c>
      <c r="C32" s="21"/>
      <c r="D32" s="21"/>
      <c r="E32" s="22">
        <f>Table3140[[#This Row],[Projected Cost]]-Table3140[[#This Row],[Actual Cost]]</f>
        <v>0</v>
      </c>
      <c r="F32" s="26"/>
      <c r="G32" s="18" t="s">
        <v>57</v>
      </c>
      <c r="H32" s="21">
        <f>SUBTOTAL(109,Table8141[Projected Cost])</f>
        <v>0</v>
      </c>
      <c r="I32" s="21">
        <f>SUBTOTAL(109,Table8141[Actual Cost])</f>
        <v>0</v>
      </c>
      <c r="J32" s="24">
        <f>SUBTOTAL(109,Table8141[Difference])</f>
        <v>0</v>
      </c>
    </row>
    <row r="33" spans="1:10" ht="15.75" customHeight="1" x14ac:dyDescent="0.2">
      <c r="A33" s="2"/>
      <c r="B33" s="25" t="s">
        <v>10</v>
      </c>
      <c r="C33" s="21"/>
      <c r="D33" s="21"/>
      <c r="E33" s="22">
        <f>Table3140[[#This Row],[Projected Cost]]-Table3140[[#This Row],[Actual Cost]]</f>
        <v>0</v>
      </c>
      <c r="F33" s="26"/>
      <c r="G33" s="31"/>
      <c r="H33" s="31"/>
      <c r="I33" s="31"/>
      <c r="J33" s="31"/>
    </row>
    <row r="34" spans="1:10" ht="15.75" customHeight="1" x14ac:dyDescent="0.2">
      <c r="A34" s="2"/>
      <c r="B34" s="18" t="s">
        <v>57</v>
      </c>
      <c r="C34" s="21">
        <f>SUBTOTAL(109,Table3140[Projected Cost])</f>
        <v>0</v>
      </c>
      <c r="D34" s="21">
        <f>SUBTOTAL(109,Table3140[Actual Cost])</f>
        <v>0</v>
      </c>
      <c r="E34" s="24">
        <f>SUBTOTAL(109,Table3140[Difference])</f>
        <v>0</v>
      </c>
      <c r="F34" s="26"/>
      <c r="G34" s="18" t="s">
        <v>10</v>
      </c>
      <c r="H34" s="19" t="s">
        <v>0</v>
      </c>
      <c r="I34" s="19" t="s">
        <v>1</v>
      </c>
      <c r="J34" s="20" t="s">
        <v>2</v>
      </c>
    </row>
    <row r="35" spans="1:10" ht="15.75" customHeight="1" x14ac:dyDescent="0.2">
      <c r="A35" s="2"/>
      <c r="B35" s="31"/>
      <c r="C35" s="31"/>
      <c r="D35" s="31"/>
      <c r="E35" s="31"/>
      <c r="F35" s="26"/>
      <c r="G35" s="25" t="s">
        <v>10</v>
      </c>
      <c r="H35" s="21"/>
      <c r="I35" s="21"/>
      <c r="J35" s="22">
        <f>Table9139[[#This Row],[Projected Cost]]-Table9139[[#This Row],[Actual Cost]]</f>
        <v>0</v>
      </c>
    </row>
    <row r="36" spans="1:10" ht="15.75" customHeight="1" x14ac:dyDescent="0.2">
      <c r="A36" s="2"/>
      <c r="B36" s="18" t="s">
        <v>46</v>
      </c>
      <c r="C36" s="19" t="s">
        <v>0</v>
      </c>
      <c r="D36" s="19" t="s">
        <v>1</v>
      </c>
      <c r="E36" s="20" t="s">
        <v>2</v>
      </c>
      <c r="F36" s="26"/>
      <c r="G36" s="25" t="s">
        <v>10</v>
      </c>
      <c r="H36" s="21"/>
      <c r="I36" s="21"/>
      <c r="J36" s="22">
        <f>Table9139[[#This Row],[Projected Cost]]-Table9139[[#This Row],[Actual Cost]]</f>
        <v>0</v>
      </c>
    </row>
    <row r="37" spans="1:10" ht="15.75" customHeight="1" x14ac:dyDescent="0.2">
      <c r="A37" s="2"/>
      <c r="B37" s="25" t="s">
        <v>64</v>
      </c>
      <c r="C37" s="21"/>
      <c r="D37" s="21"/>
      <c r="E37" s="22">
        <f>Table4135[[#This Row],[Projected Cost]]-Table4135[[#This Row],[Actual Cost]]</f>
        <v>0</v>
      </c>
      <c r="F37" s="26"/>
      <c r="G37" s="25" t="s">
        <v>10</v>
      </c>
      <c r="H37" s="21"/>
      <c r="I37" s="21"/>
      <c r="J37" s="22">
        <f>Table9139[[#This Row],[Projected Cost]]-Table9139[[#This Row],[Actual Cost]]</f>
        <v>0</v>
      </c>
    </row>
    <row r="38" spans="1:10" ht="15.75" customHeight="1" x14ac:dyDescent="0.2">
      <c r="A38" s="2"/>
      <c r="B38" s="25" t="s">
        <v>15</v>
      </c>
      <c r="C38" s="21"/>
      <c r="D38" s="21"/>
      <c r="E38" s="22">
        <f>Table4135[[#This Row],[Projected Cost]]-Table4135[[#This Row],[Actual Cost]]</f>
        <v>0</v>
      </c>
      <c r="F38" s="26"/>
      <c r="G38" s="25" t="s">
        <v>10</v>
      </c>
      <c r="H38" s="21"/>
      <c r="I38" s="21"/>
      <c r="J38" s="22">
        <f>Table9139[[#This Row],[Projected Cost]]-Table9139[[#This Row],[Actual Cost]]</f>
        <v>0</v>
      </c>
    </row>
    <row r="39" spans="1:10" ht="15.75" customHeight="1" x14ac:dyDescent="0.2">
      <c r="A39" s="2"/>
      <c r="B39" s="25" t="s">
        <v>16</v>
      </c>
      <c r="C39" s="21"/>
      <c r="D39" s="21"/>
      <c r="E39" s="22">
        <f>Table4135[[#This Row],[Projected Cost]]-Table4135[[#This Row],[Actual Cost]]</f>
        <v>0</v>
      </c>
      <c r="F39" s="26"/>
      <c r="G39" s="18" t="s">
        <v>57</v>
      </c>
      <c r="H39" s="21">
        <f>SUBTOTAL(109,Table9139[Projected Cost])</f>
        <v>0</v>
      </c>
      <c r="I39" s="21">
        <f>SUBTOTAL(109,Table9139[Actual Cost])</f>
        <v>0</v>
      </c>
      <c r="J39" s="24">
        <f>SUBTOTAL(109,Table9139[Difference])</f>
        <v>0</v>
      </c>
    </row>
    <row r="40" spans="1:10" ht="15.75" customHeight="1" x14ac:dyDescent="0.2">
      <c r="A40" s="2"/>
      <c r="B40" s="25" t="s">
        <v>10</v>
      </c>
      <c r="C40" s="21"/>
      <c r="D40" s="21"/>
      <c r="E40" s="22">
        <f>Table4135[[#This Row],[Projected Cost]]-Table4135[[#This Row],[Actual Cost]]</f>
        <v>0</v>
      </c>
      <c r="F40" s="26"/>
      <c r="G40" s="31"/>
      <c r="H40" s="31"/>
      <c r="I40" s="31"/>
      <c r="J40" s="31"/>
    </row>
    <row r="41" spans="1:10" ht="15.75" customHeight="1" x14ac:dyDescent="0.2">
      <c r="A41" s="2"/>
      <c r="B41" s="18" t="s">
        <v>57</v>
      </c>
      <c r="C41" s="21">
        <f>SUBTOTAL(109,Table4135[Projected Cost])</f>
        <v>0</v>
      </c>
      <c r="D41" s="21">
        <f>SUBTOTAL(109,Table4135[Actual Cost])</f>
        <v>0</v>
      </c>
      <c r="E41" s="24">
        <f>SUBTOTAL(109,Table4135[Difference])</f>
        <v>0</v>
      </c>
      <c r="F41" s="26"/>
      <c r="G41" s="18" t="s">
        <v>48</v>
      </c>
      <c r="H41" s="19" t="s">
        <v>0</v>
      </c>
      <c r="I41" s="19" t="s">
        <v>1</v>
      </c>
      <c r="J41" s="20" t="s">
        <v>2</v>
      </c>
    </row>
    <row r="42" spans="1:10" ht="15.75" customHeight="1" x14ac:dyDescent="0.2">
      <c r="A42" s="2"/>
      <c r="B42" s="31"/>
      <c r="C42" s="31"/>
      <c r="D42" s="31"/>
      <c r="E42" s="31"/>
      <c r="F42" s="26"/>
      <c r="G42" s="25" t="s">
        <v>41</v>
      </c>
      <c r="H42" s="21"/>
      <c r="I42" s="21"/>
      <c r="J42" s="22">
        <f>Table10142[[#This Row],[Projected Cost]]-Table10142[[#This Row],[Actual Cost]]</f>
        <v>0</v>
      </c>
    </row>
    <row r="43" spans="1:10" ht="15.75" customHeight="1" x14ac:dyDescent="0.2">
      <c r="A43" s="2"/>
      <c r="B43" s="18" t="s">
        <v>47</v>
      </c>
      <c r="C43" s="19" t="s">
        <v>0</v>
      </c>
      <c r="D43" s="19" t="s">
        <v>1</v>
      </c>
      <c r="E43" s="20" t="s">
        <v>2</v>
      </c>
      <c r="F43" s="26"/>
      <c r="G43" s="25" t="s">
        <v>42</v>
      </c>
      <c r="H43" s="21"/>
      <c r="I43" s="21"/>
      <c r="J43" s="22">
        <f>Table10142[[#This Row],[Projected Cost]]-Table10142[[#This Row],[Actual Cost]]</f>
        <v>0</v>
      </c>
    </row>
    <row r="44" spans="1:10" ht="15.75" customHeight="1" x14ac:dyDescent="0.2">
      <c r="A44" s="2"/>
      <c r="B44" s="25" t="s">
        <v>17</v>
      </c>
      <c r="C44" s="21"/>
      <c r="D44" s="21"/>
      <c r="E44" s="22">
        <f>Table5138[[#This Row],[Projected Cost]]-Table5138[[#This Row],[Actual Cost]]</f>
        <v>0</v>
      </c>
      <c r="F44" s="26"/>
      <c r="G44" s="25" t="s">
        <v>10</v>
      </c>
      <c r="H44" s="21"/>
      <c r="I44" s="21"/>
      <c r="J44" s="22">
        <f>Table10142[[#This Row],[Projected Cost]]-Table10142[[#This Row],[Actual Cost]]</f>
        <v>0</v>
      </c>
    </row>
    <row r="45" spans="1:10" ht="15.75" customHeight="1" x14ac:dyDescent="0.2">
      <c r="A45" s="2"/>
      <c r="B45" s="25" t="s">
        <v>24</v>
      </c>
      <c r="C45" s="21"/>
      <c r="D45" s="21"/>
      <c r="E45" s="22">
        <f>Table5138[[#This Row],[Projected Cost]]-Table5138[[#This Row],[Actual Cost]]</f>
        <v>0</v>
      </c>
      <c r="F45" s="26"/>
      <c r="G45" s="18" t="s">
        <v>57</v>
      </c>
      <c r="H45" s="21">
        <f>SUBTOTAL(109,Table10142[Projected Cost])</f>
        <v>0</v>
      </c>
      <c r="I45" s="21">
        <f>SUBTOTAL(109,Table10142[Actual Cost])</f>
        <v>0</v>
      </c>
      <c r="J45" s="24">
        <f>SUBTOTAL(109,Table10142[Difference])</f>
        <v>0</v>
      </c>
    </row>
    <row r="46" spans="1:10" ht="15.75" customHeight="1" x14ac:dyDescent="0.2">
      <c r="A46" s="2"/>
      <c r="B46" s="25" t="s">
        <v>10</v>
      </c>
      <c r="C46" s="21"/>
      <c r="D46" s="21"/>
      <c r="E46" s="22">
        <f>Table5138[[#This Row],[Projected Cost]]-Table5138[[#This Row],[Actual Cost]]</f>
        <v>0</v>
      </c>
      <c r="F46" s="26"/>
      <c r="G46" s="31"/>
      <c r="H46" s="31"/>
      <c r="I46" s="31"/>
      <c r="J46" s="31"/>
    </row>
    <row r="47" spans="1:10" ht="15.75" customHeight="1" x14ac:dyDescent="0.2">
      <c r="A47" s="2"/>
      <c r="B47" s="18" t="s">
        <v>57</v>
      </c>
      <c r="C47" s="21">
        <f>SUBTOTAL(109,Table5138[Projected Cost])</f>
        <v>0</v>
      </c>
      <c r="D47" s="21">
        <f>SUBTOTAL(109,Table5138[Actual Cost])</f>
        <v>0</v>
      </c>
      <c r="E47" s="24">
        <f>SUBTOTAL(109,Table5138[Difference])</f>
        <v>0</v>
      </c>
      <c r="F47" s="26"/>
      <c r="G47" s="18" t="s">
        <v>49</v>
      </c>
      <c r="H47" s="19" t="s">
        <v>0</v>
      </c>
      <c r="I47" s="19" t="s">
        <v>1</v>
      </c>
      <c r="J47" s="20" t="s">
        <v>2</v>
      </c>
    </row>
    <row r="48" spans="1:10" ht="15.75" customHeight="1" x14ac:dyDescent="0.2">
      <c r="A48" s="2"/>
      <c r="B48" s="31"/>
      <c r="C48" s="31"/>
      <c r="D48" s="31"/>
      <c r="E48" s="31"/>
      <c r="F48" s="26"/>
      <c r="G48" s="25" t="s">
        <v>30</v>
      </c>
      <c r="H48" s="21"/>
      <c r="I48" s="21"/>
      <c r="J48" s="22">
        <f>Table11137[[#This Row],[Projected Cost]]-Table11137[[#This Row],[Actual Cost]]</f>
        <v>0</v>
      </c>
    </row>
    <row r="49" spans="1:10" ht="15.75" customHeight="1" x14ac:dyDescent="0.2">
      <c r="A49" s="2"/>
      <c r="B49" s="18" t="s">
        <v>50</v>
      </c>
      <c r="C49" s="19" t="s">
        <v>0</v>
      </c>
      <c r="D49" s="19" t="s">
        <v>1</v>
      </c>
      <c r="E49" s="20" t="s">
        <v>2</v>
      </c>
      <c r="F49" s="26"/>
      <c r="G49" s="25" t="s">
        <v>31</v>
      </c>
      <c r="H49" s="21"/>
      <c r="I49" s="21"/>
      <c r="J49" s="22">
        <f>Table11137[[#This Row],[Projected Cost]]-Table11137[[#This Row],[Actual Cost]]</f>
        <v>0</v>
      </c>
    </row>
    <row r="50" spans="1:10" ht="15.75" customHeight="1" x14ac:dyDescent="0.2">
      <c r="A50" s="2"/>
      <c r="B50" s="25" t="s">
        <v>18</v>
      </c>
      <c r="C50" s="21"/>
      <c r="D50" s="21"/>
      <c r="E50" s="22">
        <f>Table6136[[#This Row],[Projected Cost]]-Table6136[[#This Row],[Actual Cost]]</f>
        <v>0</v>
      </c>
      <c r="F50" s="26"/>
      <c r="G50" s="25" t="s">
        <v>36</v>
      </c>
      <c r="H50" s="21"/>
      <c r="I50" s="21"/>
      <c r="J50" s="22">
        <f>Table11137[[#This Row],[Projected Cost]]-Table11137[[#This Row],[Actual Cost]]</f>
        <v>0</v>
      </c>
    </row>
    <row r="51" spans="1:10" ht="15.75" customHeight="1" x14ac:dyDescent="0.2">
      <c r="A51" s="2"/>
      <c r="B51" s="25" t="s">
        <v>20</v>
      </c>
      <c r="C51" s="21"/>
      <c r="D51" s="21"/>
      <c r="E51" s="22">
        <f>Table6136[[#This Row],[Projected Cost]]-Table6136[[#This Row],[Actual Cost]]</f>
        <v>0</v>
      </c>
      <c r="F51" s="26"/>
      <c r="G51" s="18" t="s">
        <v>57</v>
      </c>
      <c r="H51" s="21">
        <f>SUBTOTAL(109,Table11137[Projected Cost])</f>
        <v>0</v>
      </c>
      <c r="I51" s="21">
        <f>SUBTOTAL(109,Table11137[Actual Cost])</f>
        <v>0</v>
      </c>
      <c r="J51" s="24">
        <f>SUBTOTAL(109,Table11137[Difference])</f>
        <v>0</v>
      </c>
    </row>
    <row r="52" spans="1:10" ht="15.75" customHeight="1" x14ac:dyDescent="0.2">
      <c r="A52" s="2"/>
      <c r="B52" s="25" t="s">
        <v>21</v>
      </c>
      <c r="C52" s="21"/>
      <c r="D52" s="21"/>
      <c r="E52" s="22">
        <f>Table6136[[#This Row],[Projected Cost]]-Table6136[[#This Row],[Actual Cost]]</f>
        <v>0</v>
      </c>
      <c r="F52" s="26"/>
      <c r="G52" s="31"/>
      <c r="H52" s="31"/>
      <c r="I52" s="31"/>
      <c r="J52" s="31"/>
    </row>
    <row r="53" spans="1:10" ht="15.75" customHeight="1" x14ac:dyDescent="0.2">
      <c r="A53" s="2"/>
      <c r="B53" s="25" t="s">
        <v>19</v>
      </c>
      <c r="C53" s="21"/>
      <c r="D53" s="21"/>
      <c r="E53" s="22">
        <f>Table6136[[#This Row],[Projected Cost]]-Table6136[[#This Row],[Actual Cost]]</f>
        <v>0</v>
      </c>
      <c r="F53" s="26"/>
      <c r="G53" s="34" t="s">
        <v>54</v>
      </c>
      <c r="H53" s="34"/>
      <c r="I53" s="34"/>
      <c r="J53" s="35">
        <f>SUM(C24,C34,C41,C47,C55,C65,H23,H32,H39,H45,H51)</f>
        <v>0</v>
      </c>
    </row>
    <row r="54" spans="1:10" ht="15.75" customHeight="1" x14ac:dyDescent="0.2">
      <c r="A54" s="2"/>
      <c r="B54" s="25" t="s">
        <v>10</v>
      </c>
      <c r="C54" s="21"/>
      <c r="D54" s="21"/>
      <c r="E54" s="22">
        <f>Table6136[[#This Row],[Projected Cost]]-Table6136[[#This Row],[Actual Cost]]</f>
        <v>0</v>
      </c>
      <c r="F54" s="26"/>
      <c r="G54" s="34"/>
      <c r="H54" s="34"/>
      <c r="I54" s="34"/>
      <c r="J54" s="35"/>
    </row>
    <row r="55" spans="1:10" ht="15.75" customHeight="1" x14ac:dyDescent="0.2">
      <c r="A55" s="2"/>
      <c r="B55" s="18" t="s">
        <v>57</v>
      </c>
      <c r="C55" s="21">
        <f>SUBTOTAL(109,Table6136[Projected Cost])</f>
        <v>0</v>
      </c>
      <c r="D55" s="21">
        <f>SUBTOTAL(109,Table6136[Actual Cost])</f>
        <v>0</v>
      </c>
      <c r="E55" s="24">
        <f>SUBTOTAL(109,Table6136[Difference])</f>
        <v>0</v>
      </c>
      <c r="F55" s="26"/>
      <c r="G55" s="34" t="s">
        <v>55</v>
      </c>
      <c r="H55" s="34"/>
      <c r="I55" s="34"/>
      <c r="J55" s="35">
        <f>SUM(D24,D34,D41,D47,D55,D65,I23,I32,I39,I45,I51)</f>
        <v>0</v>
      </c>
    </row>
    <row r="56" spans="1:10" ht="15.75" customHeight="1" x14ac:dyDescent="0.2">
      <c r="A56" s="2"/>
      <c r="B56" s="31"/>
      <c r="C56" s="31"/>
      <c r="D56" s="31"/>
      <c r="E56" s="31"/>
      <c r="F56" s="26"/>
      <c r="G56" s="34"/>
      <c r="H56" s="34"/>
      <c r="I56" s="34"/>
      <c r="J56" s="35"/>
    </row>
    <row r="57" spans="1:10" ht="15.75" customHeight="1" x14ac:dyDescent="0.2">
      <c r="A57" s="2"/>
      <c r="B57" s="18" t="s">
        <v>51</v>
      </c>
      <c r="C57" s="19" t="s">
        <v>0</v>
      </c>
      <c r="D57" s="19" t="s">
        <v>1</v>
      </c>
      <c r="E57" s="20" t="s">
        <v>2</v>
      </c>
      <c r="F57" s="26"/>
      <c r="G57" s="34" t="s">
        <v>56</v>
      </c>
      <c r="H57" s="34"/>
      <c r="I57" s="34"/>
      <c r="J57" s="35">
        <f>SUM(E24,E34,E41,E47,E55,E65,J23,J32,J39,J45,J51)</f>
        <v>0</v>
      </c>
    </row>
    <row r="58" spans="1:10" ht="15.75" customHeight="1" x14ac:dyDescent="0.2">
      <c r="A58" s="2"/>
      <c r="B58" s="25" t="s">
        <v>20</v>
      </c>
      <c r="C58" s="21"/>
      <c r="D58" s="21"/>
      <c r="E58" s="22">
        <f>Table7143[[#This Row],[Projected Cost]]-Table7143[[#This Row],[Actual Cost]]</f>
        <v>0</v>
      </c>
      <c r="F58" s="26"/>
      <c r="G58" s="34"/>
      <c r="H58" s="34"/>
      <c r="I58" s="34"/>
      <c r="J58" s="35"/>
    </row>
    <row r="59" spans="1:10" ht="15.75" customHeight="1" x14ac:dyDescent="0.2">
      <c r="A59" s="2"/>
      <c r="B59" s="25" t="s">
        <v>23</v>
      </c>
      <c r="C59" s="21"/>
      <c r="D59" s="21"/>
      <c r="E59" s="22">
        <f>Table7143[[#This Row],[Projected Cost]]-Table7143[[#This Row],[Actual Cost]]</f>
        <v>0</v>
      </c>
      <c r="F59" s="14"/>
    </row>
    <row r="60" spans="1:10" ht="15.75" customHeight="1" x14ac:dyDescent="0.2">
      <c r="A60" s="2"/>
      <c r="B60" s="25" t="s">
        <v>22</v>
      </c>
      <c r="C60" s="21"/>
      <c r="D60" s="21"/>
      <c r="E60" s="22">
        <f>Table7143[[#This Row],[Projected Cost]]-Table7143[[#This Row],[Actual Cost]]</f>
        <v>0</v>
      </c>
      <c r="F60" s="14"/>
    </row>
    <row r="61" spans="1:10" ht="15.75" customHeight="1" x14ac:dyDescent="0.2">
      <c r="A61" s="2"/>
      <c r="B61" s="25" t="s">
        <v>28</v>
      </c>
      <c r="C61" s="21"/>
      <c r="D61" s="21"/>
      <c r="E61" s="22">
        <f>Table7143[[#This Row],[Projected Cost]]-Table7143[[#This Row],[Actual Cost]]</f>
        <v>0</v>
      </c>
      <c r="F61" s="14"/>
    </row>
    <row r="62" spans="1:10" ht="15.75" customHeight="1" x14ac:dyDescent="0.2">
      <c r="A62" s="2"/>
      <c r="B62" s="25" t="s">
        <v>65</v>
      </c>
      <c r="C62" s="21"/>
      <c r="D62" s="21"/>
      <c r="E62" s="22">
        <f>Table7143[[#This Row],[Projected Cost]]-Table7143[[#This Row],[Actual Cost]]</f>
        <v>0</v>
      </c>
      <c r="F62" s="14"/>
    </row>
    <row r="63" spans="1:10" ht="15.75" customHeight="1" x14ac:dyDescent="0.2">
      <c r="A63" s="2"/>
      <c r="B63" s="25" t="s">
        <v>32</v>
      </c>
      <c r="C63" s="21"/>
      <c r="D63" s="21"/>
      <c r="E63" s="22">
        <f>Table7143[[#This Row],[Projected Cost]]-Table7143[[#This Row],[Actual Cost]]</f>
        <v>0</v>
      </c>
      <c r="F63" s="14"/>
    </row>
    <row r="64" spans="1:10" ht="15.75" customHeight="1" x14ac:dyDescent="0.2">
      <c r="A64" s="2"/>
      <c r="B64" s="25" t="s">
        <v>10</v>
      </c>
      <c r="C64" s="21"/>
      <c r="D64" s="21"/>
      <c r="E64" s="22">
        <f>Table7143[[#This Row],[Projected Cost]]-Table7143[[#This Row],[Actual Cost]]</f>
        <v>0</v>
      </c>
      <c r="F64" s="14"/>
    </row>
    <row r="65" spans="1:6" ht="15.75" customHeight="1" x14ac:dyDescent="0.2">
      <c r="A65" s="2"/>
      <c r="B65" s="18" t="s">
        <v>57</v>
      </c>
      <c r="C65" s="21">
        <f>SUBTOTAL(109,Table7143[Projected Cost])</f>
        <v>0</v>
      </c>
      <c r="D65" s="21">
        <f>SUBTOTAL(109,Table7143[Actual Cost])</f>
        <v>0</v>
      </c>
      <c r="E65" s="24">
        <f>SUBTOTAL(109,Table7143[Difference])</f>
        <v>0</v>
      </c>
      <c r="F65" s="14"/>
    </row>
    <row r="66" spans="1:6" ht="15.75" customHeight="1" x14ac:dyDescent="0.2">
      <c r="B66" t="s">
        <v>70</v>
      </c>
    </row>
  </sheetData>
  <mergeCells count="32">
    <mergeCell ref="B2:J2"/>
    <mergeCell ref="B3:D3"/>
    <mergeCell ref="B4:B7"/>
    <mergeCell ref="C4:D4"/>
    <mergeCell ref="G4:I6"/>
    <mergeCell ref="J4:J6"/>
    <mergeCell ref="C5:D5"/>
    <mergeCell ref="C7:D7"/>
    <mergeCell ref="G7:I9"/>
    <mergeCell ref="J7:J9"/>
    <mergeCell ref="B42:E42"/>
    <mergeCell ref="B8:B11"/>
    <mergeCell ref="C8:D8"/>
    <mergeCell ref="C10:D10"/>
    <mergeCell ref="G10:I11"/>
    <mergeCell ref="G24:J24"/>
    <mergeCell ref="B25:E25"/>
    <mergeCell ref="G33:J33"/>
    <mergeCell ref="B35:E35"/>
    <mergeCell ref="G40:J40"/>
    <mergeCell ref="J10:J11"/>
    <mergeCell ref="C11:D11"/>
    <mergeCell ref="G57:I58"/>
    <mergeCell ref="J57:J58"/>
    <mergeCell ref="G46:J46"/>
    <mergeCell ref="B48:E48"/>
    <mergeCell ref="G52:J52"/>
    <mergeCell ref="G53:I54"/>
    <mergeCell ref="J53:J54"/>
    <mergeCell ref="G55:I56"/>
    <mergeCell ref="J55:J56"/>
    <mergeCell ref="B56:E56"/>
  </mergeCells>
  <conditionalFormatting sqref="E14:E24 E27:E34 E37:E41 E44:E47 E50:E55 E58:E65 J14:J23 J26:J32 J35:J39 J42:J45 J48:J51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86D47-4256-49B9-A4CC-376E17363019}">
  <sheetPr>
    <pageSetUpPr autoPageBreaks="0" fitToPage="1"/>
  </sheetPr>
  <dimension ref="A1:J66"/>
  <sheetViews>
    <sheetView showGridLines="0" topLeftCell="A34" workbookViewId="0">
      <selection activeCell="J53" sqref="J53:J58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3" t="s">
        <v>34</v>
      </c>
      <c r="C2" s="33"/>
      <c r="D2" s="33"/>
      <c r="E2" s="33"/>
      <c r="F2" s="33"/>
      <c r="G2" s="33"/>
      <c r="H2" s="33"/>
      <c r="I2" s="33"/>
      <c r="J2" s="33"/>
    </row>
    <row r="3" spans="1:10" ht="8.1" customHeight="1" x14ac:dyDescent="0.2">
      <c r="A3" s="2"/>
      <c r="B3" s="43"/>
      <c r="C3" s="43"/>
      <c r="D3" s="43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40" t="s">
        <v>53</v>
      </c>
      <c r="C4" s="38" t="s">
        <v>68</v>
      </c>
      <c r="D4" s="39"/>
      <c r="E4" s="17">
        <v>0</v>
      </c>
      <c r="F4" s="5"/>
      <c r="G4" s="44" t="s">
        <v>58</v>
      </c>
      <c r="H4" s="45"/>
      <c r="I4" s="46"/>
      <c r="J4" s="53">
        <f>E7-J53</f>
        <v>0</v>
      </c>
    </row>
    <row r="5" spans="1:10" ht="15.95" customHeight="1" x14ac:dyDescent="0.2">
      <c r="A5" s="2"/>
      <c r="B5" s="41"/>
      <c r="C5" s="38" t="s">
        <v>69</v>
      </c>
      <c r="D5" s="39"/>
      <c r="E5" s="17">
        <v>0</v>
      </c>
      <c r="F5" s="5"/>
      <c r="G5" s="47"/>
      <c r="H5" s="48"/>
      <c r="I5" s="49"/>
      <c r="J5" s="54"/>
    </row>
    <row r="6" spans="1:10" ht="15.95" customHeight="1" x14ac:dyDescent="0.2">
      <c r="A6" s="2"/>
      <c r="B6" s="41"/>
      <c r="C6" s="27" t="s">
        <v>10</v>
      </c>
      <c r="D6" s="28"/>
      <c r="E6" s="17">
        <v>0</v>
      </c>
      <c r="F6" s="5"/>
      <c r="G6" s="50"/>
      <c r="H6" s="51"/>
      <c r="I6" s="52"/>
      <c r="J6" s="55"/>
    </row>
    <row r="7" spans="1:10" ht="15.95" customHeight="1" x14ac:dyDescent="0.2">
      <c r="A7" s="2"/>
      <c r="B7" s="42"/>
      <c r="C7" s="36" t="s">
        <v>35</v>
      </c>
      <c r="D7" s="37"/>
      <c r="E7" s="30">
        <f>SUM(E4:E6)</f>
        <v>0</v>
      </c>
      <c r="F7" s="5"/>
      <c r="G7" s="44" t="s">
        <v>59</v>
      </c>
      <c r="H7" s="45"/>
      <c r="I7" s="46"/>
      <c r="J7" s="53">
        <f>E11-J55</f>
        <v>0</v>
      </c>
    </row>
    <row r="8" spans="1:10" ht="15.95" customHeight="1" x14ac:dyDescent="0.2">
      <c r="A8" s="2"/>
      <c r="B8" s="40" t="s">
        <v>52</v>
      </c>
      <c r="C8" s="38" t="s">
        <v>68</v>
      </c>
      <c r="D8" s="39"/>
      <c r="E8" s="17">
        <v>0</v>
      </c>
      <c r="F8" s="5"/>
      <c r="G8" s="47"/>
      <c r="H8" s="48"/>
      <c r="I8" s="49"/>
      <c r="J8" s="54"/>
    </row>
    <row r="9" spans="1:10" ht="15.95" customHeight="1" x14ac:dyDescent="0.2">
      <c r="A9" s="2"/>
      <c r="B9" s="41"/>
      <c r="C9" s="27" t="s">
        <v>69</v>
      </c>
      <c r="D9" s="28"/>
      <c r="E9" s="17">
        <v>0</v>
      </c>
      <c r="F9" s="5"/>
      <c r="G9" s="50"/>
      <c r="H9" s="51"/>
      <c r="I9" s="52"/>
      <c r="J9" s="55"/>
    </row>
    <row r="10" spans="1:10" ht="15.95" customHeight="1" x14ac:dyDescent="0.2">
      <c r="A10" s="2"/>
      <c r="B10" s="41"/>
      <c r="C10" s="38" t="s">
        <v>10</v>
      </c>
      <c r="D10" s="39"/>
      <c r="E10" s="17">
        <v>0</v>
      </c>
      <c r="F10" s="5"/>
      <c r="G10" s="34" t="s">
        <v>60</v>
      </c>
      <c r="H10" s="34"/>
      <c r="I10" s="34"/>
      <c r="J10" s="35">
        <f>J7-J4</f>
        <v>0</v>
      </c>
    </row>
    <row r="11" spans="1:10" ht="15.95" customHeight="1" x14ac:dyDescent="0.2">
      <c r="A11" s="2"/>
      <c r="B11" s="42"/>
      <c r="C11" s="36" t="s">
        <v>35</v>
      </c>
      <c r="D11" s="37"/>
      <c r="E11" s="30">
        <f>SUM(E8:E10)</f>
        <v>0</v>
      </c>
      <c r="F11" s="5"/>
      <c r="G11" s="34"/>
      <c r="H11" s="34"/>
      <c r="I11" s="34"/>
      <c r="J11" s="35"/>
    </row>
    <row r="12" spans="1:10" ht="15.95" customHeight="1" x14ac:dyDescent="0.2">
      <c r="A12" s="2"/>
      <c r="B12" s="29"/>
      <c r="C12" s="29"/>
      <c r="D12" s="10"/>
      <c r="E12" s="11"/>
      <c r="F12" s="5"/>
      <c r="G12" s="12"/>
      <c r="H12" s="12"/>
      <c r="I12" s="12"/>
      <c r="J12" s="13"/>
    </row>
    <row r="13" spans="1:10" ht="15.95" customHeight="1" x14ac:dyDescent="0.2">
      <c r="A13" s="2"/>
      <c r="B13" s="18" t="s">
        <v>43</v>
      </c>
      <c r="C13" s="19" t="s">
        <v>0</v>
      </c>
      <c r="D13" s="19" t="s">
        <v>1</v>
      </c>
      <c r="E13" s="20" t="s">
        <v>2</v>
      </c>
      <c r="F13" s="16"/>
      <c r="G13" s="18" t="s">
        <v>44</v>
      </c>
      <c r="H13" s="19" t="s">
        <v>0</v>
      </c>
      <c r="I13" s="19" t="s">
        <v>1</v>
      </c>
      <c r="J13" s="20" t="s">
        <v>2</v>
      </c>
    </row>
    <row r="14" spans="1:10" ht="15.75" customHeight="1" x14ac:dyDescent="0.2">
      <c r="A14" s="2"/>
      <c r="B14" s="25" t="s">
        <v>62</v>
      </c>
      <c r="C14" s="21"/>
      <c r="D14" s="21"/>
      <c r="E14" s="22">
        <f>Table1134145[[#This Row],[Projected Cost]]-Table1134145[[#This Row],[Actual Cost]]</f>
        <v>0</v>
      </c>
      <c r="F14" s="26"/>
      <c r="G14" s="25" t="s">
        <v>66</v>
      </c>
      <c r="H14" s="21"/>
      <c r="I14" s="21"/>
      <c r="J14" s="22">
        <f>Table2144155[[#This Row],[Projected Cost]]-Table2144155[[#This Row],[Actual Cost]]</f>
        <v>0</v>
      </c>
    </row>
    <row r="15" spans="1:10" ht="15.75" customHeight="1" x14ac:dyDescent="0.2">
      <c r="A15" s="2"/>
      <c r="B15" s="25" t="s">
        <v>3</v>
      </c>
      <c r="C15" s="21"/>
      <c r="D15" s="21"/>
      <c r="E15" s="22">
        <f>Table1134145[[#This Row],[Projected Cost]]-Table1134145[[#This Row],[Actual Cost]]</f>
        <v>0</v>
      </c>
      <c r="F15" s="26"/>
      <c r="G15" s="25" t="s">
        <v>61</v>
      </c>
      <c r="H15" s="21"/>
      <c r="I15" s="21"/>
      <c r="J15" s="22">
        <f>Table2144155[[#This Row],[Projected Cost]]-Table2144155[[#This Row],[Actual Cost]]</f>
        <v>0</v>
      </c>
    </row>
    <row r="16" spans="1:10" ht="15.75" customHeight="1" x14ac:dyDescent="0.2">
      <c r="A16" s="2"/>
      <c r="B16" s="25" t="s">
        <v>37</v>
      </c>
      <c r="C16" s="21"/>
      <c r="D16" s="21"/>
      <c r="E16" s="22">
        <f>Table1134145[[#This Row],[Projected Cost]]-Table1134145[[#This Row],[Actual Cost]]</f>
        <v>0</v>
      </c>
      <c r="F16" s="26"/>
      <c r="G16" s="25" t="s">
        <v>25</v>
      </c>
      <c r="H16" s="21"/>
      <c r="I16" s="21"/>
      <c r="J16" s="22">
        <f>Table2144155[[#This Row],[Projected Cost]]-Table2144155[[#This Row],[Actual Cost]]</f>
        <v>0</v>
      </c>
    </row>
    <row r="17" spans="1:10" ht="15.75" customHeight="1" x14ac:dyDescent="0.2">
      <c r="A17" s="2"/>
      <c r="B17" s="25" t="s">
        <v>4</v>
      </c>
      <c r="C17" s="21"/>
      <c r="D17" s="21"/>
      <c r="E17" s="22">
        <f>Table1134145[[#This Row],[Projected Cost]]-Table1134145[[#This Row],[Actual Cost]]</f>
        <v>0</v>
      </c>
      <c r="F17" s="26"/>
      <c r="G17" s="25" t="s">
        <v>26</v>
      </c>
      <c r="H17" s="21"/>
      <c r="I17" s="21"/>
      <c r="J17" s="22">
        <f>Table2144155[[#This Row],[Projected Cost]]-Table2144155[[#This Row],[Actual Cost]]</f>
        <v>0</v>
      </c>
    </row>
    <row r="18" spans="1:10" ht="15.75" customHeight="1" x14ac:dyDescent="0.2">
      <c r="A18" s="2"/>
      <c r="B18" s="25" t="s">
        <v>5</v>
      </c>
      <c r="C18" s="21"/>
      <c r="D18" s="21"/>
      <c r="E18" s="22">
        <f>Table1134145[[#This Row],[Projected Cost]]-Table1134145[[#This Row],[Actual Cost]]</f>
        <v>0</v>
      </c>
      <c r="F18" s="26"/>
      <c r="G18" s="25" t="s">
        <v>39</v>
      </c>
      <c r="H18" s="21"/>
      <c r="I18" s="21"/>
      <c r="J18" s="22">
        <f>Table2144155[[#This Row],[Projected Cost]]-Table2144155[[#This Row],[Actual Cost]]</f>
        <v>0</v>
      </c>
    </row>
    <row r="19" spans="1:10" ht="15.75" customHeight="1" x14ac:dyDescent="0.2">
      <c r="A19" s="2"/>
      <c r="B19" s="25" t="s">
        <v>6</v>
      </c>
      <c r="C19" s="21"/>
      <c r="D19" s="21"/>
      <c r="E19" s="22">
        <f>Table1134145[[#This Row],[Projected Cost]]-Table1134145[[#This Row],[Actual Cost]]</f>
        <v>0</v>
      </c>
      <c r="F19" s="26"/>
      <c r="G19" s="25" t="s">
        <v>27</v>
      </c>
      <c r="H19" s="21"/>
      <c r="I19" s="21"/>
      <c r="J19" s="22">
        <f>Table2144155[[#This Row],[Projected Cost]]-Table2144155[[#This Row],[Actual Cost]]</f>
        <v>0</v>
      </c>
    </row>
    <row r="20" spans="1:10" ht="15.75" customHeight="1" x14ac:dyDescent="0.2">
      <c r="A20" s="2"/>
      <c r="B20" s="25" t="s">
        <v>7</v>
      </c>
      <c r="C20" s="21"/>
      <c r="D20" s="21"/>
      <c r="E20" s="22">
        <f>Table1134145[[#This Row],[Projected Cost]]-Table1134145[[#This Row],[Actual Cost]]</f>
        <v>0</v>
      </c>
      <c r="F20" s="26"/>
      <c r="G20" s="25" t="s">
        <v>10</v>
      </c>
      <c r="H20" s="21"/>
      <c r="I20" s="21"/>
      <c r="J20" s="22">
        <f>Table2144155[[#This Row],[Projected Cost]]-Table2144155[[#This Row],[Actual Cost]]</f>
        <v>0</v>
      </c>
    </row>
    <row r="21" spans="1:10" ht="15.75" customHeight="1" x14ac:dyDescent="0.2">
      <c r="A21" s="2"/>
      <c r="B21" s="25" t="s">
        <v>8</v>
      </c>
      <c r="C21" s="21"/>
      <c r="D21" s="21"/>
      <c r="E21" s="22">
        <f>Table1134145[[#This Row],[Projected Cost]]-Table1134145[[#This Row],[Actual Cost]]</f>
        <v>0</v>
      </c>
      <c r="F21" s="26"/>
      <c r="G21" s="25" t="s">
        <v>10</v>
      </c>
      <c r="H21" s="21"/>
      <c r="I21" s="21"/>
      <c r="J21" s="22">
        <f>Table2144155[[#This Row],[Projected Cost]]-Table2144155[[#This Row],[Actual Cost]]</f>
        <v>0</v>
      </c>
    </row>
    <row r="22" spans="1:10" ht="15.75" customHeight="1" x14ac:dyDescent="0.2">
      <c r="A22" s="2"/>
      <c r="B22" s="25" t="s">
        <v>9</v>
      </c>
      <c r="C22" s="21"/>
      <c r="D22" s="21"/>
      <c r="E22" s="22">
        <f>Table1134145[[#This Row],[Projected Cost]]-Table1134145[[#This Row],[Actual Cost]]</f>
        <v>0</v>
      </c>
      <c r="F22" s="26"/>
      <c r="G22" s="25" t="s">
        <v>10</v>
      </c>
      <c r="H22" s="21"/>
      <c r="I22" s="21"/>
      <c r="J22" s="22">
        <f>Table2144155[[#This Row],[Projected Cost]]-Table2144155[[#This Row],[Actual Cost]]</f>
        <v>0</v>
      </c>
    </row>
    <row r="23" spans="1:10" ht="15.75" customHeight="1" x14ac:dyDescent="0.2">
      <c r="A23" s="2"/>
      <c r="B23" s="25" t="s">
        <v>10</v>
      </c>
      <c r="C23" s="21"/>
      <c r="D23" s="21"/>
      <c r="E23" s="22">
        <f>Table1134145[[#This Row],[Projected Cost]]-Table1134145[[#This Row],[Actual Cost]]</f>
        <v>0</v>
      </c>
      <c r="F23" s="26"/>
      <c r="G23" s="18" t="s">
        <v>57</v>
      </c>
      <c r="H23" s="23">
        <f>SUBTOTAL(109,Table2144155[Projected Cost])</f>
        <v>0</v>
      </c>
      <c r="I23" s="21">
        <f>SUBTOTAL(109,Table2144155[Actual Cost])</f>
        <v>0</v>
      </c>
      <c r="J23" s="24">
        <f>SUBTOTAL(109,Table2144155[Difference])</f>
        <v>0</v>
      </c>
    </row>
    <row r="24" spans="1:10" ht="15.75" customHeight="1" x14ac:dyDescent="0.2">
      <c r="A24" s="2"/>
      <c r="B24" s="18" t="s">
        <v>57</v>
      </c>
      <c r="C24" s="21">
        <f>SUBTOTAL(109,Table1134145[Projected Cost])</f>
        <v>0</v>
      </c>
      <c r="D24" s="21">
        <f>SUBTOTAL(109,Table1134145[Actual Cost])</f>
        <v>0</v>
      </c>
      <c r="E24" s="24">
        <f>SUBTOTAL(109,Table1134145[Difference])</f>
        <v>0</v>
      </c>
      <c r="F24" s="26"/>
      <c r="G24" s="32"/>
      <c r="H24" s="32"/>
      <c r="I24" s="32"/>
      <c r="J24" s="32"/>
    </row>
    <row r="25" spans="1:10" ht="15.75" customHeight="1" x14ac:dyDescent="0.2">
      <c r="A25" s="2"/>
      <c r="B25" s="31"/>
      <c r="C25" s="31"/>
      <c r="D25" s="31"/>
      <c r="E25" s="31"/>
      <c r="F25" s="26"/>
      <c r="G25" s="18" t="s">
        <v>67</v>
      </c>
      <c r="H25" s="19" t="s">
        <v>0</v>
      </c>
      <c r="I25" s="19" t="s">
        <v>1</v>
      </c>
      <c r="J25" s="20" t="s">
        <v>2</v>
      </c>
    </row>
    <row r="26" spans="1:10" ht="15.75" customHeight="1" x14ac:dyDescent="0.2">
      <c r="A26" s="2"/>
      <c r="B26" s="18" t="s">
        <v>45</v>
      </c>
      <c r="C26" s="19" t="s">
        <v>0</v>
      </c>
      <c r="D26" s="19" t="s">
        <v>1</v>
      </c>
      <c r="E26" s="20" t="s">
        <v>2</v>
      </c>
      <c r="F26" s="26"/>
      <c r="G26" s="25" t="s">
        <v>29</v>
      </c>
      <c r="H26" s="21"/>
      <c r="I26" s="21"/>
      <c r="J26" s="22">
        <f>Table8141152[[#This Row],[Projected Cost]]-Table8141152[[#This Row],[Actual Cost]]</f>
        <v>0</v>
      </c>
    </row>
    <row r="27" spans="1:10" ht="15.75" customHeight="1" x14ac:dyDescent="0.2">
      <c r="A27" s="2"/>
      <c r="B27" s="25" t="s">
        <v>38</v>
      </c>
      <c r="C27" s="21"/>
      <c r="D27" s="21"/>
      <c r="E27" s="22">
        <f>Table3140151[[#This Row],[Projected Cost]]-Table3140151[[#This Row],[Actual Cost]]</f>
        <v>0</v>
      </c>
      <c r="F27" s="26"/>
      <c r="G27" s="25" t="s">
        <v>33</v>
      </c>
      <c r="H27" s="21"/>
      <c r="I27" s="21"/>
      <c r="J27" s="22">
        <f>Table8141152[[#This Row],[Projected Cost]]-Table8141152[[#This Row],[Actual Cost]]</f>
        <v>0</v>
      </c>
    </row>
    <row r="28" spans="1:10" ht="15.75" customHeight="1" x14ac:dyDescent="0.2">
      <c r="A28" s="2"/>
      <c r="B28" s="25" t="s">
        <v>63</v>
      </c>
      <c r="C28" s="21"/>
      <c r="D28" s="21"/>
      <c r="E28" s="22">
        <f>Table3140151[[#This Row],[Projected Cost]]-Table3140151[[#This Row],[Actual Cost]]</f>
        <v>0</v>
      </c>
      <c r="F28" s="26"/>
      <c r="G28" s="25" t="s">
        <v>40</v>
      </c>
      <c r="H28" s="21"/>
      <c r="I28" s="21"/>
      <c r="J28" s="22">
        <f>Table8141152[[#This Row],[Projected Cost]]-Table8141152[[#This Row],[Actual Cost]]</f>
        <v>0</v>
      </c>
    </row>
    <row r="29" spans="1:10" ht="15.75" customHeight="1" x14ac:dyDescent="0.2">
      <c r="A29" s="2"/>
      <c r="B29" s="25" t="s">
        <v>11</v>
      </c>
      <c r="C29" s="21"/>
      <c r="D29" s="21"/>
      <c r="E29" s="22">
        <f>Table3140151[[#This Row],[Projected Cost]]-Table3140151[[#This Row],[Actual Cost]]</f>
        <v>0</v>
      </c>
      <c r="F29" s="26"/>
      <c r="G29" s="25" t="s">
        <v>40</v>
      </c>
      <c r="H29" s="21"/>
      <c r="I29" s="21"/>
      <c r="J29" s="22">
        <f>Table8141152[[#This Row],[Projected Cost]]-Table8141152[[#This Row],[Actual Cost]]</f>
        <v>0</v>
      </c>
    </row>
    <row r="30" spans="1:10" ht="15.75" customHeight="1" x14ac:dyDescent="0.2">
      <c r="A30" s="2"/>
      <c r="B30" s="25" t="s">
        <v>12</v>
      </c>
      <c r="C30" s="21"/>
      <c r="D30" s="21"/>
      <c r="E30" s="22">
        <f>Table3140151[[#This Row],[Projected Cost]]-Table3140151[[#This Row],[Actual Cost]]</f>
        <v>0</v>
      </c>
      <c r="F30" s="26"/>
      <c r="G30" s="25" t="s">
        <v>40</v>
      </c>
      <c r="H30" s="21"/>
      <c r="I30" s="21"/>
      <c r="J30" s="22">
        <f>Table8141152[[#This Row],[Projected Cost]]-Table8141152[[#This Row],[Actual Cost]]</f>
        <v>0</v>
      </c>
    </row>
    <row r="31" spans="1:10" ht="15.75" customHeight="1" x14ac:dyDescent="0.2">
      <c r="A31" s="2"/>
      <c r="B31" s="25" t="s">
        <v>13</v>
      </c>
      <c r="C31" s="21"/>
      <c r="D31" s="21"/>
      <c r="E31" s="22">
        <f>Table3140151[[#This Row],[Projected Cost]]-Table3140151[[#This Row],[Actual Cost]]</f>
        <v>0</v>
      </c>
      <c r="F31" s="26"/>
      <c r="G31" s="25" t="s">
        <v>10</v>
      </c>
      <c r="H31" s="21"/>
      <c r="I31" s="21"/>
      <c r="J31" s="22">
        <f>Table8141152[[#This Row],[Projected Cost]]-Table8141152[[#This Row],[Actual Cost]]</f>
        <v>0</v>
      </c>
    </row>
    <row r="32" spans="1:10" ht="15.75" customHeight="1" x14ac:dyDescent="0.2">
      <c r="A32" s="2"/>
      <c r="B32" s="25" t="s">
        <v>14</v>
      </c>
      <c r="C32" s="21"/>
      <c r="D32" s="21"/>
      <c r="E32" s="22">
        <f>Table3140151[[#This Row],[Projected Cost]]-Table3140151[[#This Row],[Actual Cost]]</f>
        <v>0</v>
      </c>
      <c r="F32" s="26"/>
      <c r="G32" s="18" t="s">
        <v>57</v>
      </c>
      <c r="H32" s="21">
        <f>SUBTOTAL(109,Table8141152[Projected Cost])</f>
        <v>0</v>
      </c>
      <c r="I32" s="21">
        <f>SUBTOTAL(109,Table8141152[Actual Cost])</f>
        <v>0</v>
      </c>
      <c r="J32" s="24">
        <f>SUBTOTAL(109,Table8141152[Difference])</f>
        <v>0</v>
      </c>
    </row>
    <row r="33" spans="1:10" ht="15.75" customHeight="1" x14ac:dyDescent="0.2">
      <c r="A33" s="2"/>
      <c r="B33" s="25" t="s">
        <v>10</v>
      </c>
      <c r="C33" s="21"/>
      <c r="D33" s="21"/>
      <c r="E33" s="22">
        <f>Table3140151[[#This Row],[Projected Cost]]-Table3140151[[#This Row],[Actual Cost]]</f>
        <v>0</v>
      </c>
      <c r="F33" s="26"/>
      <c r="G33" s="31"/>
      <c r="H33" s="31"/>
      <c r="I33" s="31"/>
      <c r="J33" s="31"/>
    </row>
    <row r="34" spans="1:10" ht="15.75" customHeight="1" x14ac:dyDescent="0.2">
      <c r="A34" s="2"/>
      <c r="B34" s="18" t="s">
        <v>57</v>
      </c>
      <c r="C34" s="21">
        <f>SUBTOTAL(109,Table3140151[Projected Cost])</f>
        <v>0</v>
      </c>
      <c r="D34" s="21">
        <f>SUBTOTAL(109,Table3140151[Actual Cost])</f>
        <v>0</v>
      </c>
      <c r="E34" s="24">
        <f>SUBTOTAL(109,Table3140151[Difference])</f>
        <v>0</v>
      </c>
      <c r="F34" s="26"/>
      <c r="G34" s="18" t="s">
        <v>10</v>
      </c>
      <c r="H34" s="19" t="s">
        <v>0</v>
      </c>
      <c r="I34" s="19" t="s">
        <v>1</v>
      </c>
      <c r="J34" s="20" t="s">
        <v>2</v>
      </c>
    </row>
    <row r="35" spans="1:10" ht="15.75" customHeight="1" x14ac:dyDescent="0.2">
      <c r="A35" s="2"/>
      <c r="B35" s="31"/>
      <c r="C35" s="31"/>
      <c r="D35" s="31"/>
      <c r="E35" s="31"/>
      <c r="F35" s="26"/>
      <c r="G35" s="25" t="s">
        <v>10</v>
      </c>
      <c r="H35" s="21"/>
      <c r="I35" s="21"/>
      <c r="J35" s="22">
        <f>Table9139150[[#This Row],[Projected Cost]]-Table9139150[[#This Row],[Actual Cost]]</f>
        <v>0</v>
      </c>
    </row>
    <row r="36" spans="1:10" ht="15.75" customHeight="1" x14ac:dyDescent="0.2">
      <c r="A36" s="2"/>
      <c r="B36" s="18" t="s">
        <v>46</v>
      </c>
      <c r="C36" s="19" t="s">
        <v>0</v>
      </c>
      <c r="D36" s="19" t="s">
        <v>1</v>
      </c>
      <c r="E36" s="20" t="s">
        <v>2</v>
      </c>
      <c r="F36" s="26"/>
      <c r="G36" s="25" t="s">
        <v>10</v>
      </c>
      <c r="H36" s="21"/>
      <c r="I36" s="21"/>
      <c r="J36" s="22">
        <f>Table9139150[[#This Row],[Projected Cost]]-Table9139150[[#This Row],[Actual Cost]]</f>
        <v>0</v>
      </c>
    </row>
    <row r="37" spans="1:10" ht="15.75" customHeight="1" x14ac:dyDescent="0.2">
      <c r="A37" s="2"/>
      <c r="B37" s="25" t="s">
        <v>64</v>
      </c>
      <c r="C37" s="21"/>
      <c r="D37" s="21"/>
      <c r="E37" s="22">
        <f>Table4135146[[#This Row],[Projected Cost]]-Table4135146[[#This Row],[Actual Cost]]</f>
        <v>0</v>
      </c>
      <c r="F37" s="26"/>
      <c r="G37" s="25" t="s">
        <v>10</v>
      </c>
      <c r="H37" s="21"/>
      <c r="I37" s="21"/>
      <c r="J37" s="22">
        <f>Table9139150[[#This Row],[Projected Cost]]-Table9139150[[#This Row],[Actual Cost]]</f>
        <v>0</v>
      </c>
    </row>
    <row r="38" spans="1:10" ht="15.75" customHeight="1" x14ac:dyDescent="0.2">
      <c r="A38" s="2"/>
      <c r="B38" s="25" t="s">
        <v>15</v>
      </c>
      <c r="C38" s="21"/>
      <c r="D38" s="21"/>
      <c r="E38" s="22">
        <f>Table4135146[[#This Row],[Projected Cost]]-Table4135146[[#This Row],[Actual Cost]]</f>
        <v>0</v>
      </c>
      <c r="F38" s="26"/>
      <c r="G38" s="25" t="s">
        <v>10</v>
      </c>
      <c r="H38" s="21"/>
      <c r="I38" s="21"/>
      <c r="J38" s="22">
        <f>Table9139150[[#This Row],[Projected Cost]]-Table9139150[[#This Row],[Actual Cost]]</f>
        <v>0</v>
      </c>
    </row>
    <row r="39" spans="1:10" ht="15.75" customHeight="1" x14ac:dyDescent="0.2">
      <c r="A39" s="2"/>
      <c r="B39" s="25" t="s">
        <v>16</v>
      </c>
      <c r="C39" s="21"/>
      <c r="D39" s="21"/>
      <c r="E39" s="22">
        <f>Table4135146[[#This Row],[Projected Cost]]-Table4135146[[#This Row],[Actual Cost]]</f>
        <v>0</v>
      </c>
      <c r="F39" s="26"/>
      <c r="G39" s="18" t="s">
        <v>57</v>
      </c>
      <c r="H39" s="21">
        <f>SUBTOTAL(109,Table9139150[Projected Cost])</f>
        <v>0</v>
      </c>
      <c r="I39" s="21">
        <f>SUBTOTAL(109,Table9139150[Actual Cost])</f>
        <v>0</v>
      </c>
      <c r="J39" s="24">
        <f>SUBTOTAL(109,Table9139150[Difference])</f>
        <v>0</v>
      </c>
    </row>
    <row r="40" spans="1:10" ht="15.75" customHeight="1" x14ac:dyDescent="0.2">
      <c r="A40" s="2"/>
      <c r="B40" s="25" t="s">
        <v>10</v>
      </c>
      <c r="C40" s="21"/>
      <c r="D40" s="21"/>
      <c r="E40" s="22">
        <f>Table4135146[[#This Row],[Projected Cost]]-Table4135146[[#This Row],[Actual Cost]]</f>
        <v>0</v>
      </c>
      <c r="F40" s="26"/>
      <c r="G40" s="31"/>
      <c r="H40" s="31"/>
      <c r="I40" s="31"/>
      <c r="J40" s="31"/>
    </row>
    <row r="41" spans="1:10" ht="15.75" customHeight="1" x14ac:dyDescent="0.2">
      <c r="A41" s="2"/>
      <c r="B41" s="18" t="s">
        <v>57</v>
      </c>
      <c r="C41" s="21">
        <f>SUBTOTAL(109,Table4135146[Projected Cost])</f>
        <v>0</v>
      </c>
      <c r="D41" s="21">
        <f>SUBTOTAL(109,Table4135146[Actual Cost])</f>
        <v>0</v>
      </c>
      <c r="E41" s="24">
        <f>SUBTOTAL(109,Table4135146[Difference])</f>
        <v>0</v>
      </c>
      <c r="F41" s="26"/>
      <c r="G41" s="18" t="s">
        <v>48</v>
      </c>
      <c r="H41" s="19" t="s">
        <v>0</v>
      </c>
      <c r="I41" s="19" t="s">
        <v>1</v>
      </c>
      <c r="J41" s="20" t="s">
        <v>2</v>
      </c>
    </row>
    <row r="42" spans="1:10" ht="15.75" customHeight="1" x14ac:dyDescent="0.2">
      <c r="A42" s="2"/>
      <c r="B42" s="31"/>
      <c r="C42" s="31"/>
      <c r="D42" s="31"/>
      <c r="E42" s="31"/>
      <c r="F42" s="26"/>
      <c r="G42" s="25" t="s">
        <v>41</v>
      </c>
      <c r="H42" s="21"/>
      <c r="I42" s="21"/>
      <c r="J42" s="22">
        <f>Table10142153[[#This Row],[Projected Cost]]-Table10142153[[#This Row],[Actual Cost]]</f>
        <v>0</v>
      </c>
    </row>
    <row r="43" spans="1:10" ht="15.75" customHeight="1" x14ac:dyDescent="0.2">
      <c r="A43" s="2"/>
      <c r="B43" s="18" t="s">
        <v>47</v>
      </c>
      <c r="C43" s="19" t="s">
        <v>0</v>
      </c>
      <c r="D43" s="19" t="s">
        <v>1</v>
      </c>
      <c r="E43" s="20" t="s">
        <v>2</v>
      </c>
      <c r="F43" s="26"/>
      <c r="G43" s="25" t="s">
        <v>42</v>
      </c>
      <c r="H43" s="21"/>
      <c r="I43" s="21"/>
      <c r="J43" s="22">
        <f>Table10142153[[#This Row],[Projected Cost]]-Table10142153[[#This Row],[Actual Cost]]</f>
        <v>0</v>
      </c>
    </row>
    <row r="44" spans="1:10" ht="15.75" customHeight="1" x14ac:dyDescent="0.2">
      <c r="A44" s="2"/>
      <c r="B44" s="25" t="s">
        <v>17</v>
      </c>
      <c r="C44" s="21"/>
      <c r="D44" s="21"/>
      <c r="E44" s="22">
        <f>Table5138149[[#This Row],[Projected Cost]]-Table5138149[[#This Row],[Actual Cost]]</f>
        <v>0</v>
      </c>
      <c r="F44" s="26"/>
      <c r="G44" s="25" t="s">
        <v>10</v>
      </c>
      <c r="H44" s="21"/>
      <c r="I44" s="21"/>
      <c r="J44" s="22">
        <f>Table10142153[[#This Row],[Projected Cost]]-Table10142153[[#This Row],[Actual Cost]]</f>
        <v>0</v>
      </c>
    </row>
    <row r="45" spans="1:10" ht="15.75" customHeight="1" x14ac:dyDescent="0.2">
      <c r="A45" s="2"/>
      <c r="B45" s="25" t="s">
        <v>24</v>
      </c>
      <c r="C45" s="21"/>
      <c r="D45" s="21"/>
      <c r="E45" s="22">
        <f>Table5138149[[#This Row],[Projected Cost]]-Table5138149[[#This Row],[Actual Cost]]</f>
        <v>0</v>
      </c>
      <c r="F45" s="26"/>
      <c r="G45" s="18" t="s">
        <v>57</v>
      </c>
      <c r="H45" s="21">
        <f>SUBTOTAL(109,Table10142153[Projected Cost])</f>
        <v>0</v>
      </c>
      <c r="I45" s="21">
        <f>SUBTOTAL(109,Table10142153[Actual Cost])</f>
        <v>0</v>
      </c>
      <c r="J45" s="24">
        <f>SUBTOTAL(109,Table10142153[Difference])</f>
        <v>0</v>
      </c>
    </row>
    <row r="46" spans="1:10" ht="15.75" customHeight="1" x14ac:dyDescent="0.2">
      <c r="A46" s="2"/>
      <c r="B46" s="25" t="s">
        <v>10</v>
      </c>
      <c r="C46" s="21"/>
      <c r="D46" s="21"/>
      <c r="E46" s="22">
        <f>Table5138149[[#This Row],[Projected Cost]]-Table5138149[[#This Row],[Actual Cost]]</f>
        <v>0</v>
      </c>
      <c r="F46" s="26"/>
      <c r="G46" s="31"/>
      <c r="H46" s="31"/>
      <c r="I46" s="31"/>
      <c r="J46" s="31"/>
    </row>
    <row r="47" spans="1:10" ht="15.75" customHeight="1" x14ac:dyDescent="0.2">
      <c r="A47" s="2"/>
      <c r="B47" s="18" t="s">
        <v>57</v>
      </c>
      <c r="C47" s="21">
        <f>SUBTOTAL(109,Table5138149[Projected Cost])</f>
        <v>0</v>
      </c>
      <c r="D47" s="21">
        <f>SUBTOTAL(109,Table5138149[Actual Cost])</f>
        <v>0</v>
      </c>
      <c r="E47" s="24">
        <f>SUBTOTAL(109,Table5138149[Difference])</f>
        <v>0</v>
      </c>
      <c r="F47" s="26"/>
      <c r="G47" s="18" t="s">
        <v>49</v>
      </c>
      <c r="H47" s="19" t="s">
        <v>0</v>
      </c>
      <c r="I47" s="19" t="s">
        <v>1</v>
      </c>
      <c r="J47" s="20" t="s">
        <v>2</v>
      </c>
    </row>
    <row r="48" spans="1:10" ht="15.75" customHeight="1" x14ac:dyDescent="0.2">
      <c r="A48" s="2"/>
      <c r="B48" s="31"/>
      <c r="C48" s="31"/>
      <c r="D48" s="31"/>
      <c r="E48" s="31"/>
      <c r="F48" s="26"/>
      <c r="G48" s="25" t="s">
        <v>30</v>
      </c>
      <c r="H48" s="21"/>
      <c r="I48" s="21"/>
      <c r="J48" s="22">
        <f>Table11137148[[#This Row],[Projected Cost]]-Table11137148[[#This Row],[Actual Cost]]</f>
        <v>0</v>
      </c>
    </row>
    <row r="49" spans="1:10" ht="15.75" customHeight="1" x14ac:dyDescent="0.2">
      <c r="A49" s="2"/>
      <c r="B49" s="18" t="s">
        <v>50</v>
      </c>
      <c r="C49" s="19" t="s">
        <v>0</v>
      </c>
      <c r="D49" s="19" t="s">
        <v>1</v>
      </c>
      <c r="E49" s="20" t="s">
        <v>2</v>
      </c>
      <c r="F49" s="26"/>
      <c r="G49" s="25" t="s">
        <v>31</v>
      </c>
      <c r="H49" s="21"/>
      <c r="I49" s="21"/>
      <c r="J49" s="22">
        <f>Table11137148[[#This Row],[Projected Cost]]-Table11137148[[#This Row],[Actual Cost]]</f>
        <v>0</v>
      </c>
    </row>
    <row r="50" spans="1:10" ht="15.75" customHeight="1" x14ac:dyDescent="0.2">
      <c r="A50" s="2"/>
      <c r="B50" s="25" t="s">
        <v>18</v>
      </c>
      <c r="C50" s="21"/>
      <c r="D50" s="21"/>
      <c r="E50" s="22">
        <f>Table6136147[[#This Row],[Projected Cost]]-Table6136147[[#This Row],[Actual Cost]]</f>
        <v>0</v>
      </c>
      <c r="F50" s="26"/>
      <c r="G50" s="25" t="s">
        <v>36</v>
      </c>
      <c r="H50" s="21"/>
      <c r="I50" s="21"/>
      <c r="J50" s="22">
        <f>Table11137148[[#This Row],[Projected Cost]]-Table11137148[[#This Row],[Actual Cost]]</f>
        <v>0</v>
      </c>
    </row>
    <row r="51" spans="1:10" ht="15.75" customHeight="1" x14ac:dyDescent="0.2">
      <c r="A51" s="2"/>
      <c r="B51" s="25" t="s">
        <v>20</v>
      </c>
      <c r="C51" s="21"/>
      <c r="D51" s="21"/>
      <c r="E51" s="22">
        <f>Table6136147[[#This Row],[Projected Cost]]-Table6136147[[#This Row],[Actual Cost]]</f>
        <v>0</v>
      </c>
      <c r="F51" s="26"/>
      <c r="G51" s="18" t="s">
        <v>57</v>
      </c>
      <c r="H51" s="21">
        <f>SUBTOTAL(109,Table11137148[Projected Cost])</f>
        <v>0</v>
      </c>
      <c r="I51" s="21">
        <f>SUBTOTAL(109,Table11137148[Actual Cost])</f>
        <v>0</v>
      </c>
      <c r="J51" s="24">
        <f>SUBTOTAL(109,Table11137148[Difference])</f>
        <v>0</v>
      </c>
    </row>
    <row r="52" spans="1:10" ht="15.75" customHeight="1" x14ac:dyDescent="0.2">
      <c r="A52" s="2"/>
      <c r="B52" s="25" t="s">
        <v>21</v>
      </c>
      <c r="C52" s="21"/>
      <c r="D52" s="21"/>
      <c r="E52" s="22">
        <f>Table6136147[[#This Row],[Projected Cost]]-Table6136147[[#This Row],[Actual Cost]]</f>
        <v>0</v>
      </c>
      <c r="F52" s="26"/>
      <c r="G52" s="31"/>
      <c r="H52" s="31"/>
      <c r="I52" s="31"/>
      <c r="J52" s="31"/>
    </row>
    <row r="53" spans="1:10" ht="15.75" customHeight="1" x14ac:dyDescent="0.2">
      <c r="A53" s="2"/>
      <c r="B53" s="25" t="s">
        <v>19</v>
      </c>
      <c r="C53" s="21"/>
      <c r="D53" s="21"/>
      <c r="E53" s="22">
        <f>Table6136147[[#This Row],[Projected Cost]]-Table6136147[[#This Row],[Actual Cost]]</f>
        <v>0</v>
      </c>
      <c r="F53" s="26"/>
      <c r="G53" s="34" t="s">
        <v>54</v>
      </c>
      <c r="H53" s="34"/>
      <c r="I53" s="34"/>
      <c r="J53" s="35">
        <f>SUM(C24,C34,C41,C47,C55,C65,H23,H32,H39,H45,H51)</f>
        <v>0</v>
      </c>
    </row>
    <row r="54" spans="1:10" ht="15.75" customHeight="1" x14ac:dyDescent="0.2">
      <c r="A54" s="2"/>
      <c r="B54" s="25" t="s">
        <v>10</v>
      </c>
      <c r="C54" s="21"/>
      <c r="D54" s="21"/>
      <c r="E54" s="22">
        <f>Table6136147[[#This Row],[Projected Cost]]-Table6136147[[#This Row],[Actual Cost]]</f>
        <v>0</v>
      </c>
      <c r="F54" s="26"/>
      <c r="G54" s="34"/>
      <c r="H54" s="34"/>
      <c r="I54" s="34"/>
      <c r="J54" s="35"/>
    </row>
    <row r="55" spans="1:10" ht="15.75" customHeight="1" x14ac:dyDescent="0.2">
      <c r="A55" s="2"/>
      <c r="B55" s="18" t="s">
        <v>57</v>
      </c>
      <c r="C55" s="21">
        <f>SUBTOTAL(109,Table6136147[Projected Cost])</f>
        <v>0</v>
      </c>
      <c r="D55" s="21">
        <f>SUBTOTAL(109,Table6136147[Actual Cost])</f>
        <v>0</v>
      </c>
      <c r="E55" s="24">
        <f>SUBTOTAL(109,Table6136147[Difference])</f>
        <v>0</v>
      </c>
      <c r="F55" s="26"/>
      <c r="G55" s="34" t="s">
        <v>55</v>
      </c>
      <c r="H55" s="34"/>
      <c r="I55" s="34"/>
      <c r="J55" s="35">
        <f>SUM(D24,D34,D41,D47,D55,D65,I23,I32,I39,I45,I51)</f>
        <v>0</v>
      </c>
    </row>
    <row r="56" spans="1:10" ht="15.75" customHeight="1" x14ac:dyDescent="0.2">
      <c r="A56" s="2"/>
      <c r="B56" s="31"/>
      <c r="C56" s="31"/>
      <c r="D56" s="31"/>
      <c r="E56" s="31"/>
      <c r="F56" s="26"/>
      <c r="G56" s="34"/>
      <c r="H56" s="34"/>
      <c r="I56" s="34"/>
      <c r="J56" s="35"/>
    </row>
    <row r="57" spans="1:10" ht="15.75" customHeight="1" x14ac:dyDescent="0.2">
      <c r="A57" s="2"/>
      <c r="B57" s="18" t="s">
        <v>51</v>
      </c>
      <c r="C57" s="19" t="s">
        <v>0</v>
      </c>
      <c r="D57" s="19" t="s">
        <v>1</v>
      </c>
      <c r="E57" s="20" t="s">
        <v>2</v>
      </c>
      <c r="F57" s="26"/>
      <c r="G57" s="34" t="s">
        <v>56</v>
      </c>
      <c r="H57" s="34"/>
      <c r="I57" s="34"/>
      <c r="J57" s="35">
        <f>SUM(E24,E34,E41,E47,E55,E65,J23,J32,J39,J45,J51)</f>
        <v>0</v>
      </c>
    </row>
    <row r="58" spans="1:10" ht="15.75" customHeight="1" x14ac:dyDescent="0.2">
      <c r="A58" s="2"/>
      <c r="B58" s="25" t="s">
        <v>20</v>
      </c>
      <c r="C58" s="21"/>
      <c r="D58" s="21"/>
      <c r="E58" s="22">
        <f>Table7143154[[#This Row],[Projected Cost]]-Table7143154[[#This Row],[Actual Cost]]</f>
        <v>0</v>
      </c>
      <c r="F58" s="26"/>
      <c r="G58" s="34"/>
      <c r="H58" s="34"/>
      <c r="I58" s="34"/>
      <c r="J58" s="35"/>
    </row>
    <row r="59" spans="1:10" ht="15.75" customHeight="1" x14ac:dyDescent="0.2">
      <c r="A59" s="2"/>
      <c r="B59" s="25" t="s">
        <v>23</v>
      </c>
      <c r="C59" s="21"/>
      <c r="D59" s="21"/>
      <c r="E59" s="22">
        <f>Table7143154[[#This Row],[Projected Cost]]-Table7143154[[#This Row],[Actual Cost]]</f>
        <v>0</v>
      </c>
      <c r="F59" s="14"/>
    </row>
    <row r="60" spans="1:10" ht="15.75" customHeight="1" x14ac:dyDescent="0.2">
      <c r="A60" s="2"/>
      <c r="B60" s="25" t="s">
        <v>22</v>
      </c>
      <c r="C60" s="21"/>
      <c r="D60" s="21"/>
      <c r="E60" s="22">
        <f>Table7143154[[#This Row],[Projected Cost]]-Table7143154[[#This Row],[Actual Cost]]</f>
        <v>0</v>
      </c>
      <c r="F60" s="14"/>
    </row>
    <row r="61" spans="1:10" ht="15.75" customHeight="1" x14ac:dyDescent="0.2">
      <c r="A61" s="2"/>
      <c r="B61" s="25" t="s">
        <v>28</v>
      </c>
      <c r="C61" s="21"/>
      <c r="D61" s="21"/>
      <c r="E61" s="22">
        <f>Table7143154[[#This Row],[Projected Cost]]-Table7143154[[#This Row],[Actual Cost]]</f>
        <v>0</v>
      </c>
      <c r="F61" s="14"/>
    </row>
    <row r="62" spans="1:10" ht="15.75" customHeight="1" x14ac:dyDescent="0.2">
      <c r="A62" s="2"/>
      <c r="B62" s="25" t="s">
        <v>65</v>
      </c>
      <c r="C62" s="21"/>
      <c r="D62" s="21"/>
      <c r="E62" s="22">
        <f>Table7143154[[#This Row],[Projected Cost]]-Table7143154[[#This Row],[Actual Cost]]</f>
        <v>0</v>
      </c>
      <c r="F62" s="14"/>
    </row>
    <row r="63" spans="1:10" ht="15.75" customHeight="1" x14ac:dyDescent="0.2">
      <c r="A63" s="2"/>
      <c r="B63" s="25" t="s">
        <v>32</v>
      </c>
      <c r="C63" s="21"/>
      <c r="D63" s="21"/>
      <c r="E63" s="22">
        <f>Table7143154[[#This Row],[Projected Cost]]-Table7143154[[#This Row],[Actual Cost]]</f>
        <v>0</v>
      </c>
      <c r="F63" s="14"/>
    </row>
    <row r="64" spans="1:10" ht="15.75" customHeight="1" x14ac:dyDescent="0.2">
      <c r="A64" s="2"/>
      <c r="B64" s="25" t="s">
        <v>10</v>
      </c>
      <c r="C64" s="21"/>
      <c r="D64" s="21"/>
      <c r="E64" s="22">
        <f>Table7143154[[#This Row],[Projected Cost]]-Table7143154[[#This Row],[Actual Cost]]</f>
        <v>0</v>
      </c>
      <c r="F64" s="14"/>
    </row>
    <row r="65" spans="1:6" ht="15.75" customHeight="1" x14ac:dyDescent="0.2">
      <c r="A65" s="2"/>
      <c r="B65" s="18" t="s">
        <v>57</v>
      </c>
      <c r="C65" s="21">
        <f>SUBTOTAL(109,Table7143154[Projected Cost])</f>
        <v>0</v>
      </c>
      <c r="D65" s="21">
        <f>SUBTOTAL(109,Table7143154[Actual Cost])</f>
        <v>0</v>
      </c>
      <c r="E65" s="24">
        <f>SUBTOTAL(109,Table7143154[Difference])</f>
        <v>0</v>
      </c>
      <c r="F65" s="14"/>
    </row>
    <row r="66" spans="1:6" ht="15.75" customHeight="1" x14ac:dyDescent="0.2">
      <c r="B66" t="s">
        <v>70</v>
      </c>
    </row>
  </sheetData>
  <mergeCells count="32">
    <mergeCell ref="B2:J2"/>
    <mergeCell ref="B3:D3"/>
    <mergeCell ref="B4:B7"/>
    <mergeCell ref="C4:D4"/>
    <mergeCell ref="G4:I6"/>
    <mergeCell ref="J4:J6"/>
    <mergeCell ref="C5:D5"/>
    <mergeCell ref="C7:D7"/>
    <mergeCell ref="G7:I9"/>
    <mergeCell ref="J7:J9"/>
    <mergeCell ref="B42:E42"/>
    <mergeCell ref="B8:B11"/>
    <mergeCell ref="C8:D8"/>
    <mergeCell ref="C10:D10"/>
    <mergeCell ref="G10:I11"/>
    <mergeCell ref="G24:J24"/>
    <mergeCell ref="B25:E25"/>
    <mergeCell ref="G33:J33"/>
    <mergeCell ref="B35:E35"/>
    <mergeCell ref="G40:J40"/>
    <mergeCell ref="J10:J11"/>
    <mergeCell ref="C11:D11"/>
    <mergeCell ref="G57:I58"/>
    <mergeCell ref="J57:J58"/>
    <mergeCell ref="G46:J46"/>
    <mergeCell ref="B48:E48"/>
    <mergeCell ref="G52:J52"/>
    <mergeCell ref="G53:I54"/>
    <mergeCell ref="J53:J54"/>
    <mergeCell ref="G55:I56"/>
    <mergeCell ref="J55:J56"/>
    <mergeCell ref="B56:E56"/>
  </mergeCells>
  <conditionalFormatting sqref="E14:E24 E27:E34 E37:E41 E44:E47 E50:E55 E58:E65 J14:J23 J26:J32 J35:J39 J42:J45 J48:J51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2D43F-3A4A-4979-A4ED-D91B11F4DF3D}">
  <sheetPr>
    <pageSetUpPr autoPageBreaks="0" fitToPage="1"/>
  </sheetPr>
  <dimension ref="A1:J66"/>
  <sheetViews>
    <sheetView showGridLines="0" topLeftCell="A34" workbookViewId="0">
      <selection activeCell="J53" sqref="J53:J58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3" t="s">
        <v>34</v>
      </c>
      <c r="C2" s="33"/>
      <c r="D2" s="33"/>
      <c r="E2" s="33"/>
      <c r="F2" s="33"/>
      <c r="G2" s="33"/>
      <c r="H2" s="33"/>
      <c r="I2" s="33"/>
      <c r="J2" s="33"/>
    </row>
    <row r="3" spans="1:10" ht="8.1" customHeight="1" x14ac:dyDescent="0.2">
      <c r="A3" s="2"/>
      <c r="B3" s="43"/>
      <c r="C3" s="43"/>
      <c r="D3" s="43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40" t="s">
        <v>53</v>
      </c>
      <c r="C4" s="38" t="s">
        <v>68</v>
      </c>
      <c r="D4" s="39"/>
      <c r="E4" s="17">
        <v>0</v>
      </c>
      <c r="F4" s="5"/>
      <c r="G4" s="44" t="s">
        <v>58</v>
      </c>
      <c r="H4" s="45"/>
      <c r="I4" s="46"/>
      <c r="J4" s="53">
        <f>E7-J53</f>
        <v>0</v>
      </c>
    </row>
    <row r="5" spans="1:10" ht="15.95" customHeight="1" x14ac:dyDescent="0.2">
      <c r="A5" s="2"/>
      <c r="B5" s="41"/>
      <c r="C5" s="38" t="s">
        <v>69</v>
      </c>
      <c r="D5" s="39"/>
      <c r="E5" s="17">
        <v>0</v>
      </c>
      <c r="F5" s="5"/>
      <c r="G5" s="47"/>
      <c r="H5" s="48"/>
      <c r="I5" s="49"/>
      <c r="J5" s="54"/>
    </row>
    <row r="6" spans="1:10" ht="15.95" customHeight="1" x14ac:dyDescent="0.2">
      <c r="A6" s="2"/>
      <c r="B6" s="41"/>
      <c r="C6" s="27" t="s">
        <v>10</v>
      </c>
      <c r="D6" s="28"/>
      <c r="E6" s="17">
        <v>0</v>
      </c>
      <c r="F6" s="5"/>
      <c r="G6" s="50"/>
      <c r="H6" s="51"/>
      <c r="I6" s="52"/>
      <c r="J6" s="55"/>
    </row>
    <row r="7" spans="1:10" ht="15.95" customHeight="1" x14ac:dyDescent="0.2">
      <c r="A7" s="2"/>
      <c r="B7" s="42"/>
      <c r="C7" s="36" t="s">
        <v>35</v>
      </c>
      <c r="D7" s="37"/>
      <c r="E7" s="30">
        <f>SUM(E4:E6)</f>
        <v>0</v>
      </c>
      <c r="F7" s="5"/>
      <c r="G7" s="44" t="s">
        <v>59</v>
      </c>
      <c r="H7" s="45"/>
      <c r="I7" s="46"/>
      <c r="J7" s="53">
        <f>E11-J55</f>
        <v>0</v>
      </c>
    </row>
    <row r="8" spans="1:10" ht="15.95" customHeight="1" x14ac:dyDescent="0.2">
      <c r="A8" s="2"/>
      <c r="B8" s="40" t="s">
        <v>52</v>
      </c>
      <c r="C8" s="38" t="s">
        <v>68</v>
      </c>
      <c r="D8" s="39"/>
      <c r="E8" s="17">
        <v>0</v>
      </c>
      <c r="F8" s="5"/>
      <c r="G8" s="47"/>
      <c r="H8" s="48"/>
      <c r="I8" s="49"/>
      <c r="J8" s="54"/>
    </row>
    <row r="9" spans="1:10" ht="15.95" customHeight="1" x14ac:dyDescent="0.2">
      <c r="A9" s="2"/>
      <c r="B9" s="41"/>
      <c r="C9" s="27" t="s">
        <v>69</v>
      </c>
      <c r="D9" s="28"/>
      <c r="E9" s="17">
        <v>0</v>
      </c>
      <c r="F9" s="5"/>
      <c r="G9" s="50"/>
      <c r="H9" s="51"/>
      <c r="I9" s="52"/>
      <c r="J9" s="55"/>
    </row>
    <row r="10" spans="1:10" ht="15.95" customHeight="1" x14ac:dyDescent="0.2">
      <c r="A10" s="2"/>
      <c r="B10" s="41"/>
      <c r="C10" s="38" t="s">
        <v>10</v>
      </c>
      <c r="D10" s="39"/>
      <c r="E10" s="17">
        <v>0</v>
      </c>
      <c r="F10" s="5"/>
      <c r="G10" s="34" t="s">
        <v>60</v>
      </c>
      <c r="H10" s="34"/>
      <c r="I10" s="34"/>
      <c r="J10" s="35">
        <f>J7-J4</f>
        <v>0</v>
      </c>
    </row>
    <row r="11" spans="1:10" ht="15.95" customHeight="1" x14ac:dyDescent="0.2">
      <c r="A11" s="2"/>
      <c r="B11" s="42"/>
      <c r="C11" s="36" t="s">
        <v>35</v>
      </c>
      <c r="D11" s="37"/>
      <c r="E11" s="30">
        <f>SUM(E8:E10)</f>
        <v>0</v>
      </c>
      <c r="F11" s="5"/>
      <c r="G11" s="34"/>
      <c r="H11" s="34"/>
      <c r="I11" s="34"/>
      <c r="J11" s="35"/>
    </row>
    <row r="12" spans="1:10" ht="15.95" customHeight="1" x14ac:dyDescent="0.2">
      <c r="A12" s="2"/>
      <c r="B12" s="29"/>
      <c r="C12" s="29"/>
      <c r="D12" s="10"/>
      <c r="E12" s="11"/>
      <c r="F12" s="5"/>
      <c r="G12" s="12"/>
      <c r="H12" s="12"/>
      <c r="I12" s="12"/>
      <c r="J12" s="13"/>
    </row>
    <row r="13" spans="1:10" ht="15.95" customHeight="1" x14ac:dyDescent="0.2">
      <c r="A13" s="2"/>
      <c r="B13" s="18" t="s">
        <v>43</v>
      </c>
      <c r="C13" s="19" t="s">
        <v>0</v>
      </c>
      <c r="D13" s="19" t="s">
        <v>1</v>
      </c>
      <c r="E13" s="20" t="s">
        <v>2</v>
      </c>
      <c r="F13" s="16"/>
      <c r="G13" s="18" t="s">
        <v>44</v>
      </c>
      <c r="H13" s="19" t="s">
        <v>0</v>
      </c>
      <c r="I13" s="19" t="s">
        <v>1</v>
      </c>
      <c r="J13" s="20" t="s">
        <v>2</v>
      </c>
    </row>
    <row r="14" spans="1:10" ht="15.75" customHeight="1" x14ac:dyDescent="0.2">
      <c r="A14" s="2"/>
      <c r="B14" s="25" t="s">
        <v>62</v>
      </c>
      <c r="C14" s="21"/>
      <c r="D14" s="21"/>
      <c r="E14" s="22">
        <f>Table1134145156[[#This Row],[Projected Cost]]-Table1134145156[[#This Row],[Actual Cost]]</f>
        <v>0</v>
      </c>
      <c r="F14" s="26"/>
      <c r="G14" s="25" t="s">
        <v>66</v>
      </c>
      <c r="H14" s="21"/>
      <c r="I14" s="21"/>
      <c r="J14" s="22">
        <f>Table2144155166[[#This Row],[Projected Cost]]-Table2144155166[[#This Row],[Actual Cost]]</f>
        <v>0</v>
      </c>
    </row>
    <row r="15" spans="1:10" ht="15.75" customHeight="1" x14ac:dyDescent="0.2">
      <c r="A15" s="2"/>
      <c r="B15" s="25" t="s">
        <v>3</v>
      </c>
      <c r="C15" s="21"/>
      <c r="D15" s="21"/>
      <c r="E15" s="22">
        <f>Table1134145156[[#This Row],[Projected Cost]]-Table1134145156[[#This Row],[Actual Cost]]</f>
        <v>0</v>
      </c>
      <c r="F15" s="26"/>
      <c r="G15" s="25" t="s">
        <v>61</v>
      </c>
      <c r="H15" s="21"/>
      <c r="I15" s="21"/>
      <c r="J15" s="22">
        <f>Table2144155166[[#This Row],[Projected Cost]]-Table2144155166[[#This Row],[Actual Cost]]</f>
        <v>0</v>
      </c>
    </row>
    <row r="16" spans="1:10" ht="15.75" customHeight="1" x14ac:dyDescent="0.2">
      <c r="A16" s="2"/>
      <c r="B16" s="25" t="s">
        <v>37</v>
      </c>
      <c r="C16" s="21"/>
      <c r="D16" s="21"/>
      <c r="E16" s="22">
        <f>Table1134145156[[#This Row],[Projected Cost]]-Table1134145156[[#This Row],[Actual Cost]]</f>
        <v>0</v>
      </c>
      <c r="F16" s="26"/>
      <c r="G16" s="25" t="s">
        <v>25</v>
      </c>
      <c r="H16" s="21"/>
      <c r="I16" s="21"/>
      <c r="J16" s="22">
        <f>Table2144155166[[#This Row],[Projected Cost]]-Table2144155166[[#This Row],[Actual Cost]]</f>
        <v>0</v>
      </c>
    </row>
    <row r="17" spans="1:10" ht="15.75" customHeight="1" x14ac:dyDescent="0.2">
      <c r="A17" s="2"/>
      <c r="B17" s="25" t="s">
        <v>4</v>
      </c>
      <c r="C17" s="21"/>
      <c r="D17" s="21"/>
      <c r="E17" s="22">
        <f>Table1134145156[[#This Row],[Projected Cost]]-Table1134145156[[#This Row],[Actual Cost]]</f>
        <v>0</v>
      </c>
      <c r="F17" s="26"/>
      <c r="G17" s="25" t="s">
        <v>26</v>
      </c>
      <c r="H17" s="21"/>
      <c r="I17" s="21"/>
      <c r="J17" s="22">
        <f>Table2144155166[[#This Row],[Projected Cost]]-Table2144155166[[#This Row],[Actual Cost]]</f>
        <v>0</v>
      </c>
    </row>
    <row r="18" spans="1:10" ht="15.75" customHeight="1" x14ac:dyDescent="0.2">
      <c r="A18" s="2"/>
      <c r="B18" s="25" t="s">
        <v>5</v>
      </c>
      <c r="C18" s="21"/>
      <c r="D18" s="21"/>
      <c r="E18" s="22">
        <f>Table1134145156[[#This Row],[Projected Cost]]-Table1134145156[[#This Row],[Actual Cost]]</f>
        <v>0</v>
      </c>
      <c r="F18" s="26"/>
      <c r="G18" s="25" t="s">
        <v>39</v>
      </c>
      <c r="H18" s="21"/>
      <c r="I18" s="21"/>
      <c r="J18" s="22">
        <f>Table2144155166[[#This Row],[Projected Cost]]-Table2144155166[[#This Row],[Actual Cost]]</f>
        <v>0</v>
      </c>
    </row>
    <row r="19" spans="1:10" ht="15.75" customHeight="1" x14ac:dyDescent="0.2">
      <c r="A19" s="2"/>
      <c r="B19" s="25" t="s">
        <v>6</v>
      </c>
      <c r="C19" s="21"/>
      <c r="D19" s="21"/>
      <c r="E19" s="22">
        <f>Table1134145156[[#This Row],[Projected Cost]]-Table1134145156[[#This Row],[Actual Cost]]</f>
        <v>0</v>
      </c>
      <c r="F19" s="26"/>
      <c r="G19" s="25" t="s">
        <v>27</v>
      </c>
      <c r="H19" s="21"/>
      <c r="I19" s="21"/>
      <c r="J19" s="22">
        <f>Table2144155166[[#This Row],[Projected Cost]]-Table2144155166[[#This Row],[Actual Cost]]</f>
        <v>0</v>
      </c>
    </row>
    <row r="20" spans="1:10" ht="15.75" customHeight="1" x14ac:dyDescent="0.2">
      <c r="A20" s="2"/>
      <c r="B20" s="25" t="s">
        <v>7</v>
      </c>
      <c r="C20" s="21"/>
      <c r="D20" s="21"/>
      <c r="E20" s="22">
        <f>Table1134145156[[#This Row],[Projected Cost]]-Table1134145156[[#This Row],[Actual Cost]]</f>
        <v>0</v>
      </c>
      <c r="F20" s="26"/>
      <c r="G20" s="25" t="s">
        <v>10</v>
      </c>
      <c r="H20" s="21"/>
      <c r="I20" s="21"/>
      <c r="J20" s="22">
        <f>Table2144155166[[#This Row],[Projected Cost]]-Table2144155166[[#This Row],[Actual Cost]]</f>
        <v>0</v>
      </c>
    </row>
    <row r="21" spans="1:10" ht="15.75" customHeight="1" x14ac:dyDescent="0.2">
      <c r="A21" s="2"/>
      <c r="B21" s="25" t="s">
        <v>8</v>
      </c>
      <c r="C21" s="21"/>
      <c r="D21" s="21"/>
      <c r="E21" s="22">
        <f>Table1134145156[[#This Row],[Projected Cost]]-Table1134145156[[#This Row],[Actual Cost]]</f>
        <v>0</v>
      </c>
      <c r="F21" s="26"/>
      <c r="G21" s="25" t="s">
        <v>10</v>
      </c>
      <c r="H21" s="21"/>
      <c r="I21" s="21"/>
      <c r="J21" s="22">
        <f>Table2144155166[[#This Row],[Projected Cost]]-Table2144155166[[#This Row],[Actual Cost]]</f>
        <v>0</v>
      </c>
    </row>
    <row r="22" spans="1:10" ht="15.75" customHeight="1" x14ac:dyDescent="0.2">
      <c r="A22" s="2"/>
      <c r="B22" s="25" t="s">
        <v>9</v>
      </c>
      <c r="C22" s="21"/>
      <c r="D22" s="21"/>
      <c r="E22" s="22">
        <f>Table1134145156[[#This Row],[Projected Cost]]-Table1134145156[[#This Row],[Actual Cost]]</f>
        <v>0</v>
      </c>
      <c r="F22" s="26"/>
      <c r="G22" s="25" t="s">
        <v>10</v>
      </c>
      <c r="H22" s="21"/>
      <c r="I22" s="21"/>
      <c r="J22" s="22">
        <f>Table2144155166[[#This Row],[Projected Cost]]-Table2144155166[[#This Row],[Actual Cost]]</f>
        <v>0</v>
      </c>
    </row>
    <row r="23" spans="1:10" ht="15.75" customHeight="1" x14ac:dyDescent="0.2">
      <c r="A23" s="2"/>
      <c r="B23" s="25" t="s">
        <v>10</v>
      </c>
      <c r="C23" s="21"/>
      <c r="D23" s="21"/>
      <c r="E23" s="22">
        <f>Table1134145156[[#This Row],[Projected Cost]]-Table1134145156[[#This Row],[Actual Cost]]</f>
        <v>0</v>
      </c>
      <c r="F23" s="26"/>
      <c r="G23" s="18" t="s">
        <v>57</v>
      </c>
      <c r="H23" s="23">
        <f>SUBTOTAL(109,Table2144155166[Projected Cost])</f>
        <v>0</v>
      </c>
      <c r="I23" s="21">
        <f>SUBTOTAL(109,Table2144155166[Actual Cost])</f>
        <v>0</v>
      </c>
      <c r="J23" s="24">
        <f>SUBTOTAL(109,Table2144155166[Difference])</f>
        <v>0</v>
      </c>
    </row>
    <row r="24" spans="1:10" ht="15.75" customHeight="1" x14ac:dyDescent="0.2">
      <c r="A24" s="2"/>
      <c r="B24" s="18" t="s">
        <v>57</v>
      </c>
      <c r="C24" s="21">
        <f>SUBTOTAL(109,Table1134145156[Projected Cost])</f>
        <v>0</v>
      </c>
      <c r="D24" s="21">
        <f>SUBTOTAL(109,Table1134145156[Actual Cost])</f>
        <v>0</v>
      </c>
      <c r="E24" s="24">
        <f>SUBTOTAL(109,Table1134145156[Difference])</f>
        <v>0</v>
      </c>
      <c r="F24" s="26"/>
      <c r="G24" s="32"/>
      <c r="H24" s="32"/>
      <c r="I24" s="32"/>
      <c r="J24" s="32"/>
    </row>
    <row r="25" spans="1:10" ht="15.75" customHeight="1" x14ac:dyDescent="0.2">
      <c r="A25" s="2"/>
      <c r="B25" s="31"/>
      <c r="C25" s="31"/>
      <c r="D25" s="31"/>
      <c r="E25" s="31"/>
      <c r="F25" s="26"/>
      <c r="G25" s="18" t="s">
        <v>67</v>
      </c>
      <c r="H25" s="19" t="s">
        <v>0</v>
      </c>
      <c r="I25" s="19" t="s">
        <v>1</v>
      </c>
      <c r="J25" s="20" t="s">
        <v>2</v>
      </c>
    </row>
    <row r="26" spans="1:10" ht="15.75" customHeight="1" x14ac:dyDescent="0.2">
      <c r="A26" s="2"/>
      <c r="B26" s="18" t="s">
        <v>45</v>
      </c>
      <c r="C26" s="19" t="s">
        <v>0</v>
      </c>
      <c r="D26" s="19" t="s">
        <v>1</v>
      </c>
      <c r="E26" s="20" t="s">
        <v>2</v>
      </c>
      <c r="F26" s="26"/>
      <c r="G26" s="25" t="s">
        <v>29</v>
      </c>
      <c r="H26" s="21"/>
      <c r="I26" s="21"/>
      <c r="J26" s="22">
        <f>Table8141152163[[#This Row],[Projected Cost]]-Table8141152163[[#This Row],[Actual Cost]]</f>
        <v>0</v>
      </c>
    </row>
    <row r="27" spans="1:10" ht="15.75" customHeight="1" x14ac:dyDescent="0.2">
      <c r="A27" s="2"/>
      <c r="B27" s="25" t="s">
        <v>38</v>
      </c>
      <c r="C27" s="21"/>
      <c r="D27" s="21"/>
      <c r="E27" s="22">
        <f>Table3140151162[[#This Row],[Projected Cost]]-Table3140151162[[#This Row],[Actual Cost]]</f>
        <v>0</v>
      </c>
      <c r="F27" s="26"/>
      <c r="G27" s="25" t="s">
        <v>33</v>
      </c>
      <c r="H27" s="21"/>
      <c r="I27" s="21"/>
      <c r="J27" s="22">
        <f>Table8141152163[[#This Row],[Projected Cost]]-Table8141152163[[#This Row],[Actual Cost]]</f>
        <v>0</v>
      </c>
    </row>
    <row r="28" spans="1:10" ht="15.75" customHeight="1" x14ac:dyDescent="0.2">
      <c r="A28" s="2"/>
      <c r="B28" s="25" t="s">
        <v>63</v>
      </c>
      <c r="C28" s="21"/>
      <c r="D28" s="21"/>
      <c r="E28" s="22">
        <f>Table3140151162[[#This Row],[Projected Cost]]-Table3140151162[[#This Row],[Actual Cost]]</f>
        <v>0</v>
      </c>
      <c r="F28" s="26"/>
      <c r="G28" s="25" t="s">
        <v>40</v>
      </c>
      <c r="H28" s="21"/>
      <c r="I28" s="21"/>
      <c r="J28" s="22">
        <f>Table8141152163[[#This Row],[Projected Cost]]-Table8141152163[[#This Row],[Actual Cost]]</f>
        <v>0</v>
      </c>
    </row>
    <row r="29" spans="1:10" ht="15.75" customHeight="1" x14ac:dyDescent="0.2">
      <c r="A29" s="2"/>
      <c r="B29" s="25" t="s">
        <v>11</v>
      </c>
      <c r="C29" s="21"/>
      <c r="D29" s="21"/>
      <c r="E29" s="22">
        <f>Table3140151162[[#This Row],[Projected Cost]]-Table3140151162[[#This Row],[Actual Cost]]</f>
        <v>0</v>
      </c>
      <c r="F29" s="26"/>
      <c r="G29" s="25" t="s">
        <v>40</v>
      </c>
      <c r="H29" s="21"/>
      <c r="I29" s="21"/>
      <c r="J29" s="22">
        <f>Table8141152163[[#This Row],[Projected Cost]]-Table8141152163[[#This Row],[Actual Cost]]</f>
        <v>0</v>
      </c>
    </row>
    <row r="30" spans="1:10" ht="15.75" customHeight="1" x14ac:dyDescent="0.2">
      <c r="A30" s="2"/>
      <c r="B30" s="25" t="s">
        <v>12</v>
      </c>
      <c r="C30" s="21"/>
      <c r="D30" s="21"/>
      <c r="E30" s="22">
        <f>Table3140151162[[#This Row],[Projected Cost]]-Table3140151162[[#This Row],[Actual Cost]]</f>
        <v>0</v>
      </c>
      <c r="F30" s="26"/>
      <c r="G30" s="25" t="s">
        <v>40</v>
      </c>
      <c r="H30" s="21"/>
      <c r="I30" s="21"/>
      <c r="J30" s="22">
        <f>Table8141152163[[#This Row],[Projected Cost]]-Table8141152163[[#This Row],[Actual Cost]]</f>
        <v>0</v>
      </c>
    </row>
    <row r="31" spans="1:10" ht="15.75" customHeight="1" x14ac:dyDescent="0.2">
      <c r="A31" s="2"/>
      <c r="B31" s="25" t="s">
        <v>13</v>
      </c>
      <c r="C31" s="21"/>
      <c r="D31" s="21"/>
      <c r="E31" s="22">
        <f>Table3140151162[[#This Row],[Projected Cost]]-Table3140151162[[#This Row],[Actual Cost]]</f>
        <v>0</v>
      </c>
      <c r="F31" s="26"/>
      <c r="G31" s="25" t="s">
        <v>10</v>
      </c>
      <c r="H31" s="21"/>
      <c r="I31" s="21"/>
      <c r="J31" s="22">
        <f>Table8141152163[[#This Row],[Projected Cost]]-Table8141152163[[#This Row],[Actual Cost]]</f>
        <v>0</v>
      </c>
    </row>
    <row r="32" spans="1:10" ht="15.75" customHeight="1" x14ac:dyDescent="0.2">
      <c r="A32" s="2"/>
      <c r="B32" s="25" t="s">
        <v>14</v>
      </c>
      <c r="C32" s="21"/>
      <c r="D32" s="21"/>
      <c r="E32" s="22">
        <f>Table3140151162[[#This Row],[Projected Cost]]-Table3140151162[[#This Row],[Actual Cost]]</f>
        <v>0</v>
      </c>
      <c r="F32" s="26"/>
      <c r="G32" s="18" t="s">
        <v>57</v>
      </c>
      <c r="H32" s="21">
        <f>SUBTOTAL(109,Table8141152163[Projected Cost])</f>
        <v>0</v>
      </c>
      <c r="I32" s="21">
        <f>SUBTOTAL(109,Table8141152163[Actual Cost])</f>
        <v>0</v>
      </c>
      <c r="J32" s="24">
        <f>SUBTOTAL(109,Table8141152163[Difference])</f>
        <v>0</v>
      </c>
    </row>
    <row r="33" spans="1:10" ht="15.75" customHeight="1" x14ac:dyDescent="0.2">
      <c r="A33" s="2"/>
      <c r="B33" s="25" t="s">
        <v>10</v>
      </c>
      <c r="C33" s="21"/>
      <c r="D33" s="21"/>
      <c r="E33" s="22">
        <f>Table3140151162[[#This Row],[Projected Cost]]-Table3140151162[[#This Row],[Actual Cost]]</f>
        <v>0</v>
      </c>
      <c r="F33" s="26"/>
      <c r="G33" s="31"/>
      <c r="H33" s="31"/>
      <c r="I33" s="31"/>
      <c r="J33" s="31"/>
    </row>
    <row r="34" spans="1:10" ht="15.75" customHeight="1" x14ac:dyDescent="0.2">
      <c r="A34" s="2"/>
      <c r="B34" s="18" t="s">
        <v>57</v>
      </c>
      <c r="C34" s="21">
        <f>SUBTOTAL(109,Table3140151162[Projected Cost])</f>
        <v>0</v>
      </c>
      <c r="D34" s="21">
        <f>SUBTOTAL(109,Table3140151162[Actual Cost])</f>
        <v>0</v>
      </c>
      <c r="E34" s="24">
        <f>SUBTOTAL(109,Table3140151162[Difference])</f>
        <v>0</v>
      </c>
      <c r="F34" s="26"/>
      <c r="G34" s="18" t="s">
        <v>10</v>
      </c>
      <c r="H34" s="19" t="s">
        <v>0</v>
      </c>
      <c r="I34" s="19" t="s">
        <v>1</v>
      </c>
      <c r="J34" s="20" t="s">
        <v>2</v>
      </c>
    </row>
    <row r="35" spans="1:10" ht="15.75" customHeight="1" x14ac:dyDescent="0.2">
      <c r="A35" s="2"/>
      <c r="B35" s="31"/>
      <c r="C35" s="31"/>
      <c r="D35" s="31"/>
      <c r="E35" s="31"/>
      <c r="F35" s="26"/>
      <c r="G35" s="25" t="s">
        <v>10</v>
      </c>
      <c r="H35" s="21"/>
      <c r="I35" s="21"/>
      <c r="J35" s="22">
        <f>Table9139150161[[#This Row],[Projected Cost]]-Table9139150161[[#This Row],[Actual Cost]]</f>
        <v>0</v>
      </c>
    </row>
    <row r="36" spans="1:10" ht="15.75" customHeight="1" x14ac:dyDescent="0.2">
      <c r="A36" s="2"/>
      <c r="B36" s="18" t="s">
        <v>46</v>
      </c>
      <c r="C36" s="19" t="s">
        <v>0</v>
      </c>
      <c r="D36" s="19" t="s">
        <v>1</v>
      </c>
      <c r="E36" s="20" t="s">
        <v>2</v>
      </c>
      <c r="F36" s="26"/>
      <c r="G36" s="25" t="s">
        <v>10</v>
      </c>
      <c r="H36" s="21"/>
      <c r="I36" s="21"/>
      <c r="J36" s="22">
        <f>Table9139150161[[#This Row],[Projected Cost]]-Table9139150161[[#This Row],[Actual Cost]]</f>
        <v>0</v>
      </c>
    </row>
    <row r="37" spans="1:10" ht="15.75" customHeight="1" x14ac:dyDescent="0.2">
      <c r="A37" s="2"/>
      <c r="B37" s="25" t="s">
        <v>64</v>
      </c>
      <c r="C37" s="21"/>
      <c r="D37" s="21"/>
      <c r="E37" s="22">
        <f>Table4135146157[[#This Row],[Projected Cost]]-Table4135146157[[#This Row],[Actual Cost]]</f>
        <v>0</v>
      </c>
      <c r="F37" s="26"/>
      <c r="G37" s="25" t="s">
        <v>10</v>
      </c>
      <c r="H37" s="21"/>
      <c r="I37" s="21"/>
      <c r="J37" s="22">
        <f>Table9139150161[[#This Row],[Projected Cost]]-Table9139150161[[#This Row],[Actual Cost]]</f>
        <v>0</v>
      </c>
    </row>
    <row r="38" spans="1:10" ht="15.75" customHeight="1" x14ac:dyDescent="0.2">
      <c r="A38" s="2"/>
      <c r="B38" s="25" t="s">
        <v>15</v>
      </c>
      <c r="C38" s="21"/>
      <c r="D38" s="21"/>
      <c r="E38" s="22">
        <f>Table4135146157[[#This Row],[Projected Cost]]-Table4135146157[[#This Row],[Actual Cost]]</f>
        <v>0</v>
      </c>
      <c r="F38" s="26"/>
      <c r="G38" s="25" t="s">
        <v>10</v>
      </c>
      <c r="H38" s="21"/>
      <c r="I38" s="21"/>
      <c r="J38" s="22">
        <f>Table9139150161[[#This Row],[Projected Cost]]-Table9139150161[[#This Row],[Actual Cost]]</f>
        <v>0</v>
      </c>
    </row>
    <row r="39" spans="1:10" ht="15.75" customHeight="1" x14ac:dyDescent="0.2">
      <c r="A39" s="2"/>
      <c r="B39" s="25" t="s">
        <v>16</v>
      </c>
      <c r="C39" s="21"/>
      <c r="D39" s="21"/>
      <c r="E39" s="22">
        <f>Table4135146157[[#This Row],[Projected Cost]]-Table4135146157[[#This Row],[Actual Cost]]</f>
        <v>0</v>
      </c>
      <c r="F39" s="26"/>
      <c r="G39" s="18" t="s">
        <v>57</v>
      </c>
      <c r="H39" s="21">
        <f>SUBTOTAL(109,Table9139150161[Projected Cost])</f>
        <v>0</v>
      </c>
      <c r="I39" s="21">
        <f>SUBTOTAL(109,Table9139150161[Actual Cost])</f>
        <v>0</v>
      </c>
      <c r="J39" s="24">
        <f>SUBTOTAL(109,Table9139150161[Difference])</f>
        <v>0</v>
      </c>
    </row>
    <row r="40" spans="1:10" ht="15.75" customHeight="1" x14ac:dyDescent="0.2">
      <c r="A40" s="2"/>
      <c r="B40" s="25" t="s">
        <v>10</v>
      </c>
      <c r="C40" s="21"/>
      <c r="D40" s="21"/>
      <c r="E40" s="22">
        <f>Table4135146157[[#This Row],[Projected Cost]]-Table4135146157[[#This Row],[Actual Cost]]</f>
        <v>0</v>
      </c>
      <c r="F40" s="26"/>
      <c r="G40" s="31"/>
      <c r="H40" s="31"/>
      <c r="I40" s="31"/>
      <c r="J40" s="31"/>
    </row>
    <row r="41" spans="1:10" ht="15.75" customHeight="1" x14ac:dyDescent="0.2">
      <c r="A41" s="2"/>
      <c r="B41" s="18" t="s">
        <v>57</v>
      </c>
      <c r="C41" s="21">
        <f>SUBTOTAL(109,Table4135146157[Projected Cost])</f>
        <v>0</v>
      </c>
      <c r="D41" s="21">
        <f>SUBTOTAL(109,Table4135146157[Actual Cost])</f>
        <v>0</v>
      </c>
      <c r="E41" s="24">
        <f>SUBTOTAL(109,Table4135146157[Difference])</f>
        <v>0</v>
      </c>
      <c r="F41" s="26"/>
      <c r="G41" s="18" t="s">
        <v>48</v>
      </c>
      <c r="H41" s="19" t="s">
        <v>0</v>
      </c>
      <c r="I41" s="19" t="s">
        <v>1</v>
      </c>
      <c r="J41" s="20" t="s">
        <v>2</v>
      </c>
    </row>
    <row r="42" spans="1:10" ht="15.75" customHeight="1" x14ac:dyDescent="0.2">
      <c r="A42" s="2"/>
      <c r="B42" s="31"/>
      <c r="C42" s="31"/>
      <c r="D42" s="31"/>
      <c r="E42" s="31"/>
      <c r="F42" s="26"/>
      <c r="G42" s="25" t="s">
        <v>41</v>
      </c>
      <c r="H42" s="21"/>
      <c r="I42" s="21"/>
      <c r="J42" s="22">
        <f>Table10142153164[[#This Row],[Projected Cost]]-Table10142153164[[#This Row],[Actual Cost]]</f>
        <v>0</v>
      </c>
    </row>
    <row r="43" spans="1:10" ht="15.75" customHeight="1" x14ac:dyDescent="0.2">
      <c r="A43" s="2"/>
      <c r="B43" s="18" t="s">
        <v>47</v>
      </c>
      <c r="C43" s="19" t="s">
        <v>0</v>
      </c>
      <c r="D43" s="19" t="s">
        <v>1</v>
      </c>
      <c r="E43" s="20" t="s">
        <v>2</v>
      </c>
      <c r="F43" s="26"/>
      <c r="G43" s="25" t="s">
        <v>42</v>
      </c>
      <c r="H43" s="21"/>
      <c r="I43" s="21"/>
      <c r="J43" s="22">
        <f>Table10142153164[[#This Row],[Projected Cost]]-Table10142153164[[#This Row],[Actual Cost]]</f>
        <v>0</v>
      </c>
    </row>
    <row r="44" spans="1:10" ht="15.75" customHeight="1" x14ac:dyDescent="0.2">
      <c r="A44" s="2"/>
      <c r="B44" s="25" t="s">
        <v>17</v>
      </c>
      <c r="C44" s="21"/>
      <c r="D44" s="21"/>
      <c r="E44" s="22">
        <f>Table5138149160[[#This Row],[Projected Cost]]-Table5138149160[[#This Row],[Actual Cost]]</f>
        <v>0</v>
      </c>
      <c r="F44" s="26"/>
      <c r="G44" s="25" t="s">
        <v>10</v>
      </c>
      <c r="H44" s="21"/>
      <c r="I44" s="21"/>
      <c r="J44" s="22">
        <f>Table10142153164[[#This Row],[Projected Cost]]-Table10142153164[[#This Row],[Actual Cost]]</f>
        <v>0</v>
      </c>
    </row>
    <row r="45" spans="1:10" ht="15.75" customHeight="1" x14ac:dyDescent="0.2">
      <c r="A45" s="2"/>
      <c r="B45" s="25" t="s">
        <v>24</v>
      </c>
      <c r="C45" s="21"/>
      <c r="D45" s="21"/>
      <c r="E45" s="22">
        <f>Table5138149160[[#This Row],[Projected Cost]]-Table5138149160[[#This Row],[Actual Cost]]</f>
        <v>0</v>
      </c>
      <c r="F45" s="26"/>
      <c r="G45" s="18" t="s">
        <v>57</v>
      </c>
      <c r="H45" s="21">
        <f>SUBTOTAL(109,Table10142153164[Projected Cost])</f>
        <v>0</v>
      </c>
      <c r="I45" s="21">
        <f>SUBTOTAL(109,Table10142153164[Actual Cost])</f>
        <v>0</v>
      </c>
      <c r="J45" s="24">
        <f>SUBTOTAL(109,Table10142153164[Difference])</f>
        <v>0</v>
      </c>
    </row>
    <row r="46" spans="1:10" ht="15.75" customHeight="1" x14ac:dyDescent="0.2">
      <c r="A46" s="2"/>
      <c r="B46" s="25" t="s">
        <v>10</v>
      </c>
      <c r="C46" s="21"/>
      <c r="D46" s="21"/>
      <c r="E46" s="22">
        <f>Table5138149160[[#This Row],[Projected Cost]]-Table5138149160[[#This Row],[Actual Cost]]</f>
        <v>0</v>
      </c>
      <c r="F46" s="26"/>
      <c r="G46" s="31"/>
      <c r="H46" s="31"/>
      <c r="I46" s="31"/>
      <c r="J46" s="31"/>
    </row>
    <row r="47" spans="1:10" ht="15.75" customHeight="1" x14ac:dyDescent="0.2">
      <c r="A47" s="2"/>
      <c r="B47" s="18" t="s">
        <v>57</v>
      </c>
      <c r="C47" s="21">
        <f>SUBTOTAL(109,Table5138149160[Projected Cost])</f>
        <v>0</v>
      </c>
      <c r="D47" s="21">
        <f>SUBTOTAL(109,Table5138149160[Actual Cost])</f>
        <v>0</v>
      </c>
      <c r="E47" s="24">
        <f>SUBTOTAL(109,Table5138149160[Difference])</f>
        <v>0</v>
      </c>
      <c r="F47" s="26"/>
      <c r="G47" s="18" t="s">
        <v>49</v>
      </c>
      <c r="H47" s="19" t="s">
        <v>0</v>
      </c>
      <c r="I47" s="19" t="s">
        <v>1</v>
      </c>
      <c r="J47" s="20" t="s">
        <v>2</v>
      </c>
    </row>
    <row r="48" spans="1:10" ht="15.75" customHeight="1" x14ac:dyDescent="0.2">
      <c r="A48" s="2"/>
      <c r="B48" s="31"/>
      <c r="C48" s="31"/>
      <c r="D48" s="31"/>
      <c r="E48" s="31"/>
      <c r="F48" s="26"/>
      <c r="G48" s="25" t="s">
        <v>30</v>
      </c>
      <c r="H48" s="21"/>
      <c r="I48" s="21"/>
      <c r="J48" s="22">
        <f>Table11137148159[[#This Row],[Projected Cost]]-Table11137148159[[#This Row],[Actual Cost]]</f>
        <v>0</v>
      </c>
    </row>
    <row r="49" spans="1:10" ht="15.75" customHeight="1" x14ac:dyDescent="0.2">
      <c r="A49" s="2"/>
      <c r="B49" s="18" t="s">
        <v>50</v>
      </c>
      <c r="C49" s="19" t="s">
        <v>0</v>
      </c>
      <c r="D49" s="19" t="s">
        <v>1</v>
      </c>
      <c r="E49" s="20" t="s">
        <v>2</v>
      </c>
      <c r="F49" s="26"/>
      <c r="G49" s="25" t="s">
        <v>31</v>
      </c>
      <c r="H49" s="21"/>
      <c r="I49" s="21"/>
      <c r="J49" s="22">
        <f>Table11137148159[[#This Row],[Projected Cost]]-Table11137148159[[#This Row],[Actual Cost]]</f>
        <v>0</v>
      </c>
    </row>
    <row r="50" spans="1:10" ht="15.75" customHeight="1" x14ac:dyDescent="0.2">
      <c r="A50" s="2"/>
      <c r="B50" s="25" t="s">
        <v>18</v>
      </c>
      <c r="C50" s="21"/>
      <c r="D50" s="21"/>
      <c r="E50" s="22">
        <f>Table6136147158[[#This Row],[Projected Cost]]-Table6136147158[[#This Row],[Actual Cost]]</f>
        <v>0</v>
      </c>
      <c r="F50" s="26"/>
      <c r="G50" s="25" t="s">
        <v>36</v>
      </c>
      <c r="H50" s="21"/>
      <c r="I50" s="21"/>
      <c r="J50" s="22">
        <f>Table11137148159[[#This Row],[Projected Cost]]-Table11137148159[[#This Row],[Actual Cost]]</f>
        <v>0</v>
      </c>
    </row>
    <row r="51" spans="1:10" ht="15.75" customHeight="1" x14ac:dyDescent="0.2">
      <c r="A51" s="2"/>
      <c r="B51" s="25" t="s">
        <v>20</v>
      </c>
      <c r="C51" s="21"/>
      <c r="D51" s="21"/>
      <c r="E51" s="22">
        <f>Table6136147158[[#This Row],[Projected Cost]]-Table6136147158[[#This Row],[Actual Cost]]</f>
        <v>0</v>
      </c>
      <c r="F51" s="26"/>
      <c r="G51" s="18" t="s">
        <v>57</v>
      </c>
      <c r="H51" s="21">
        <f>SUBTOTAL(109,Table11137148159[Projected Cost])</f>
        <v>0</v>
      </c>
      <c r="I51" s="21">
        <f>SUBTOTAL(109,Table11137148159[Actual Cost])</f>
        <v>0</v>
      </c>
      <c r="J51" s="24">
        <f>SUBTOTAL(109,Table11137148159[Difference])</f>
        <v>0</v>
      </c>
    </row>
    <row r="52" spans="1:10" ht="15.75" customHeight="1" x14ac:dyDescent="0.2">
      <c r="A52" s="2"/>
      <c r="B52" s="25" t="s">
        <v>21</v>
      </c>
      <c r="C52" s="21"/>
      <c r="D52" s="21"/>
      <c r="E52" s="22">
        <f>Table6136147158[[#This Row],[Projected Cost]]-Table6136147158[[#This Row],[Actual Cost]]</f>
        <v>0</v>
      </c>
      <c r="F52" s="26"/>
      <c r="G52" s="31"/>
      <c r="H52" s="31"/>
      <c r="I52" s="31"/>
      <c r="J52" s="31"/>
    </row>
    <row r="53" spans="1:10" ht="15.75" customHeight="1" x14ac:dyDescent="0.2">
      <c r="A53" s="2"/>
      <c r="B53" s="25" t="s">
        <v>19</v>
      </c>
      <c r="C53" s="21"/>
      <c r="D53" s="21"/>
      <c r="E53" s="22">
        <f>Table6136147158[[#This Row],[Projected Cost]]-Table6136147158[[#This Row],[Actual Cost]]</f>
        <v>0</v>
      </c>
      <c r="F53" s="26"/>
      <c r="G53" s="34" t="s">
        <v>54</v>
      </c>
      <c r="H53" s="34"/>
      <c r="I53" s="34"/>
      <c r="J53" s="35">
        <f>SUM(C24,C34,C41,C47,C55,C65,H23,H32,H39,H45,H51)</f>
        <v>0</v>
      </c>
    </row>
    <row r="54" spans="1:10" ht="15.75" customHeight="1" x14ac:dyDescent="0.2">
      <c r="A54" s="2"/>
      <c r="B54" s="25" t="s">
        <v>10</v>
      </c>
      <c r="C54" s="21"/>
      <c r="D54" s="21"/>
      <c r="E54" s="22">
        <f>Table6136147158[[#This Row],[Projected Cost]]-Table6136147158[[#This Row],[Actual Cost]]</f>
        <v>0</v>
      </c>
      <c r="F54" s="26"/>
      <c r="G54" s="34"/>
      <c r="H54" s="34"/>
      <c r="I54" s="34"/>
      <c r="J54" s="35"/>
    </row>
    <row r="55" spans="1:10" ht="15.75" customHeight="1" x14ac:dyDescent="0.2">
      <c r="A55" s="2"/>
      <c r="B55" s="18" t="s">
        <v>57</v>
      </c>
      <c r="C55" s="21">
        <f>SUBTOTAL(109,Table6136147158[Projected Cost])</f>
        <v>0</v>
      </c>
      <c r="D55" s="21">
        <f>SUBTOTAL(109,Table6136147158[Actual Cost])</f>
        <v>0</v>
      </c>
      <c r="E55" s="24">
        <f>SUBTOTAL(109,Table6136147158[Difference])</f>
        <v>0</v>
      </c>
      <c r="F55" s="26"/>
      <c r="G55" s="34" t="s">
        <v>55</v>
      </c>
      <c r="H55" s="34"/>
      <c r="I55" s="34"/>
      <c r="J55" s="35">
        <f>SUM(D24,D34,D41,D47,D55,D65,I23,I32,I39,I45,I51)</f>
        <v>0</v>
      </c>
    </row>
    <row r="56" spans="1:10" ht="15.75" customHeight="1" x14ac:dyDescent="0.2">
      <c r="A56" s="2"/>
      <c r="B56" s="31"/>
      <c r="C56" s="31"/>
      <c r="D56" s="31"/>
      <c r="E56" s="31"/>
      <c r="F56" s="26"/>
      <c r="G56" s="34"/>
      <c r="H56" s="34"/>
      <c r="I56" s="34"/>
      <c r="J56" s="35"/>
    </row>
    <row r="57" spans="1:10" ht="15.75" customHeight="1" x14ac:dyDescent="0.2">
      <c r="A57" s="2"/>
      <c r="B57" s="18" t="s">
        <v>51</v>
      </c>
      <c r="C57" s="19" t="s">
        <v>0</v>
      </c>
      <c r="D57" s="19" t="s">
        <v>1</v>
      </c>
      <c r="E57" s="20" t="s">
        <v>2</v>
      </c>
      <c r="F57" s="26"/>
      <c r="G57" s="34" t="s">
        <v>56</v>
      </c>
      <c r="H57" s="34"/>
      <c r="I57" s="34"/>
      <c r="J57" s="35">
        <f>SUM(E24,E34,E41,E47,E55,E65,J23,J32,J39,J45,J51)</f>
        <v>0</v>
      </c>
    </row>
    <row r="58" spans="1:10" ht="15.75" customHeight="1" x14ac:dyDescent="0.2">
      <c r="A58" s="2"/>
      <c r="B58" s="25" t="s">
        <v>20</v>
      </c>
      <c r="C58" s="21"/>
      <c r="D58" s="21"/>
      <c r="E58" s="22">
        <f>Table7143154165[[#This Row],[Projected Cost]]-Table7143154165[[#This Row],[Actual Cost]]</f>
        <v>0</v>
      </c>
      <c r="F58" s="26"/>
      <c r="G58" s="34"/>
      <c r="H58" s="34"/>
      <c r="I58" s="34"/>
      <c r="J58" s="35"/>
    </row>
    <row r="59" spans="1:10" ht="15.75" customHeight="1" x14ac:dyDescent="0.2">
      <c r="A59" s="2"/>
      <c r="B59" s="25" t="s">
        <v>23</v>
      </c>
      <c r="C59" s="21"/>
      <c r="D59" s="21"/>
      <c r="E59" s="22">
        <f>Table7143154165[[#This Row],[Projected Cost]]-Table7143154165[[#This Row],[Actual Cost]]</f>
        <v>0</v>
      </c>
      <c r="F59" s="14"/>
    </row>
    <row r="60" spans="1:10" ht="15.75" customHeight="1" x14ac:dyDescent="0.2">
      <c r="A60" s="2"/>
      <c r="B60" s="25" t="s">
        <v>22</v>
      </c>
      <c r="C60" s="21"/>
      <c r="D60" s="21"/>
      <c r="E60" s="22">
        <f>Table7143154165[[#This Row],[Projected Cost]]-Table7143154165[[#This Row],[Actual Cost]]</f>
        <v>0</v>
      </c>
      <c r="F60" s="14"/>
    </row>
    <row r="61" spans="1:10" ht="15.75" customHeight="1" x14ac:dyDescent="0.2">
      <c r="A61" s="2"/>
      <c r="B61" s="25" t="s">
        <v>28</v>
      </c>
      <c r="C61" s="21"/>
      <c r="D61" s="21"/>
      <c r="E61" s="22">
        <f>Table7143154165[[#This Row],[Projected Cost]]-Table7143154165[[#This Row],[Actual Cost]]</f>
        <v>0</v>
      </c>
      <c r="F61" s="14"/>
    </row>
    <row r="62" spans="1:10" ht="15.75" customHeight="1" x14ac:dyDescent="0.2">
      <c r="A62" s="2"/>
      <c r="B62" s="25" t="s">
        <v>65</v>
      </c>
      <c r="C62" s="21"/>
      <c r="D62" s="21"/>
      <c r="E62" s="22">
        <f>Table7143154165[[#This Row],[Projected Cost]]-Table7143154165[[#This Row],[Actual Cost]]</f>
        <v>0</v>
      </c>
      <c r="F62" s="14"/>
    </row>
    <row r="63" spans="1:10" ht="15.75" customHeight="1" x14ac:dyDescent="0.2">
      <c r="A63" s="2"/>
      <c r="B63" s="25" t="s">
        <v>32</v>
      </c>
      <c r="C63" s="21"/>
      <c r="D63" s="21"/>
      <c r="E63" s="22">
        <f>Table7143154165[[#This Row],[Projected Cost]]-Table7143154165[[#This Row],[Actual Cost]]</f>
        <v>0</v>
      </c>
      <c r="F63" s="14"/>
    </row>
    <row r="64" spans="1:10" ht="15.75" customHeight="1" x14ac:dyDescent="0.2">
      <c r="A64" s="2"/>
      <c r="B64" s="25" t="s">
        <v>10</v>
      </c>
      <c r="C64" s="21"/>
      <c r="D64" s="21"/>
      <c r="E64" s="22">
        <f>Table7143154165[[#This Row],[Projected Cost]]-Table7143154165[[#This Row],[Actual Cost]]</f>
        <v>0</v>
      </c>
      <c r="F64" s="14"/>
    </row>
    <row r="65" spans="1:6" ht="15.75" customHeight="1" x14ac:dyDescent="0.2">
      <c r="A65" s="2"/>
      <c r="B65" s="18" t="s">
        <v>57</v>
      </c>
      <c r="C65" s="21">
        <f>SUBTOTAL(109,Table7143154165[Projected Cost])</f>
        <v>0</v>
      </c>
      <c r="D65" s="21">
        <f>SUBTOTAL(109,Table7143154165[Actual Cost])</f>
        <v>0</v>
      </c>
      <c r="E65" s="24">
        <f>SUBTOTAL(109,Table7143154165[Difference])</f>
        <v>0</v>
      </c>
      <c r="F65" s="14"/>
    </row>
    <row r="66" spans="1:6" ht="15.75" customHeight="1" x14ac:dyDescent="0.2">
      <c r="B66" t="s">
        <v>70</v>
      </c>
    </row>
  </sheetData>
  <mergeCells count="32">
    <mergeCell ref="B2:J2"/>
    <mergeCell ref="B3:D3"/>
    <mergeCell ref="B4:B7"/>
    <mergeCell ref="C4:D4"/>
    <mergeCell ref="G4:I6"/>
    <mergeCell ref="J4:J6"/>
    <mergeCell ref="C5:D5"/>
    <mergeCell ref="C7:D7"/>
    <mergeCell ref="G7:I9"/>
    <mergeCell ref="J7:J9"/>
    <mergeCell ref="B42:E42"/>
    <mergeCell ref="B8:B11"/>
    <mergeCell ref="C8:D8"/>
    <mergeCell ref="C10:D10"/>
    <mergeCell ref="G10:I11"/>
    <mergeCell ref="G24:J24"/>
    <mergeCell ref="B25:E25"/>
    <mergeCell ref="G33:J33"/>
    <mergeCell ref="B35:E35"/>
    <mergeCell ref="G40:J40"/>
    <mergeCell ref="J10:J11"/>
    <mergeCell ref="C11:D11"/>
    <mergeCell ref="G57:I58"/>
    <mergeCell ref="J57:J58"/>
    <mergeCell ref="G46:J46"/>
    <mergeCell ref="B48:E48"/>
    <mergeCell ref="G52:J52"/>
    <mergeCell ref="G53:I54"/>
    <mergeCell ref="J53:J54"/>
    <mergeCell ref="G55:I56"/>
    <mergeCell ref="J55:J56"/>
    <mergeCell ref="B56:E56"/>
  </mergeCells>
  <conditionalFormatting sqref="E14:E24 E27:E34 E37:E41 E44:E47 E50:E55 E58:E65 J14:J23 J26:J32 J35:J39 J42:J45 J48:J51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739C6-C6AD-41AF-BA32-51FA0AE07853}">
  <sheetPr>
    <pageSetUpPr autoPageBreaks="0" fitToPage="1"/>
  </sheetPr>
  <dimension ref="A1:J66"/>
  <sheetViews>
    <sheetView showGridLines="0" topLeftCell="A40" workbookViewId="0">
      <selection activeCell="J53" sqref="J53:J58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3" t="s">
        <v>34</v>
      </c>
      <c r="C2" s="33"/>
      <c r="D2" s="33"/>
      <c r="E2" s="33"/>
      <c r="F2" s="33"/>
      <c r="G2" s="33"/>
      <c r="H2" s="33"/>
      <c r="I2" s="33"/>
      <c r="J2" s="33"/>
    </row>
    <row r="3" spans="1:10" ht="8.1" customHeight="1" x14ac:dyDescent="0.2">
      <c r="A3" s="2"/>
      <c r="B3" s="43"/>
      <c r="C3" s="43"/>
      <c r="D3" s="43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40" t="s">
        <v>53</v>
      </c>
      <c r="C4" s="38" t="s">
        <v>68</v>
      </c>
      <c r="D4" s="39"/>
      <c r="E4" s="17">
        <v>0</v>
      </c>
      <c r="F4" s="5"/>
      <c r="G4" s="44" t="s">
        <v>58</v>
      </c>
      <c r="H4" s="45"/>
      <c r="I4" s="46"/>
      <c r="J4" s="53">
        <f>E7-J53</f>
        <v>0</v>
      </c>
    </row>
    <row r="5" spans="1:10" ht="15.95" customHeight="1" x14ac:dyDescent="0.2">
      <c r="A5" s="2"/>
      <c r="B5" s="41"/>
      <c r="C5" s="38" t="s">
        <v>69</v>
      </c>
      <c r="D5" s="39"/>
      <c r="E5" s="17">
        <v>0</v>
      </c>
      <c r="F5" s="5"/>
      <c r="G5" s="47"/>
      <c r="H5" s="48"/>
      <c r="I5" s="49"/>
      <c r="J5" s="54"/>
    </row>
    <row r="6" spans="1:10" ht="15.95" customHeight="1" x14ac:dyDescent="0.2">
      <c r="A6" s="2"/>
      <c r="B6" s="41"/>
      <c r="C6" s="27" t="s">
        <v>10</v>
      </c>
      <c r="D6" s="28"/>
      <c r="E6" s="17">
        <v>0</v>
      </c>
      <c r="F6" s="5"/>
      <c r="G6" s="50"/>
      <c r="H6" s="51"/>
      <c r="I6" s="52"/>
      <c r="J6" s="55"/>
    </row>
    <row r="7" spans="1:10" ht="15.95" customHeight="1" x14ac:dyDescent="0.2">
      <c r="A7" s="2"/>
      <c r="B7" s="42"/>
      <c r="C7" s="36" t="s">
        <v>35</v>
      </c>
      <c r="D7" s="37"/>
      <c r="E7" s="30">
        <f>SUM(E4:E6)</f>
        <v>0</v>
      </c>
      <c r="F7" s="5"/>
      <c r="G7" s="44" t="s">
        <v>59</v>
      </c>
      <c r="H7" s="45"/>
      <c r="I7" s="46"/>
      <c r="J7" s="53">
        <f>E11-J55</f>
        <v>0</v>
      </c>
    </row>
    <row r="8" spans="1:10" ht="15.95" customHeight="1" x14ac:dyDescent="0.2">
      <c r="A8" s="2"/>
      <c r="B8" s="40" t="s">
        <v>52</v>
      </c>
      <c r="C8" s="38" t="s">
        <v>68</v>
      </c>
      <c r="D8" s="39"/>
      <c r="E8" s="17">
        <v>0</v>
      </c>
      <c r="F8" s="5"/>
      <c r="G8" s="47"/>
      <c r="H8" s="48"/>
      <c r="I8" s="49"/>
      <c r="J8" s="54"/>
    </row>
    <row r="9" spans="1:10" ht="15.95" customHeight="1" x14ac:dyDescent="0.2">
      <c r="A9" s="2"/>
      <c r="B9" s="41"/>
      <c r="C9" s="27" t="s">
        <v>69</v>
      </c>
      <c r="D9" s="28"/>
      <c r="E9" s="17">
        <v>0</v>
      </c>
      <c r="F9" s="5"/>
      <c r="G9" s="50"/>
      <c r="H9" s="51"/>
      <c r="I9" s="52"/>
      <c r="J9" s="55"/>
    </row>
    <row r="10" spans="1:10" ht="15.95" customHeight="1" x14ac:dyDescent="0.2">
      <c r="A10" s="2"/>
      <c r="B10" s="41"/>
      <c r="C10" s="38" t="s">
        <v>10</v>
      </c>
      <c r="D10" s="39"/>
      <c r="E10" s="17">
        <v>0</v>
      </c>
      <c r="F10" s="5"/>
      <c r="G10" s="34" t="s">
        <v>60</v>
      </c>
      <c r="H10" s="34"/>
      <c r="I10" s="34"/>
      <c r="J10" s="35">
        <f>J7-J4</f>
        <v>0</v>
      </c>
    </row>
    <row r="11" spans="1:10" ht="15.95" customHeight="1" x14ac:dyDescent="0.2">
      <c r="A11" s="2"/>
      <c r="B11" s="42"/>
      <c r="C11" s="36" t="s">
        <v>35</v>
      </c>
      <c r="D11" s="37"/>
      <c r="E11" s="30">
        <f>SUM(E8:E10)</f>
        <v>0</v>
      </c>
      <c r="F11" s="5"/>
      <c r="G11" s="34"/>
      <c r="H11" s="34"/>
      <c r="I11" s="34"/>
      <c r="J11" s="35"/>
    </row>
    <row r="12" spans="1:10" ht="15.95" customHeight="1" x14ac:dyDescent="0.2">
      <c r="A12" s="2"/>
      <c r="B12" s="29"/>
      <c r="C12" s="29"/>
      <c r="D12" s="10"/>
      <c r="E12" s="11"/>
      <c r="F12" s="5"/>
      <c r="G12" s="12"/>
      <c r="H12" s="12"/>
      <c r="I12" s="12"/>
      <c r="J12" s="13"/>
    </row>
    <row r="13" spans="1:10" ht="15.95" customHeight="1" x14ac:dyDescent="0.2">
      <c r="A13" s="2"/>
      <c r="B13" s="18" t="s">
        <v>43</v>
      </c>
      <c r="C13" s="19" t="s">
        <v>0</v>
      </c>
      <c r="D13" s="19" t="s">
        <v>1</v>
      </c>
      <c r="E13" s="20" t="s">
        <v>2</v>
      </c>
      <c r="F13" s="16"/>
      <c r="G13" s="18" t="s">
        <v>44</v>
      </c>
      <c r="H13" s="19" t="s">
        <v>0</v>
      </c>
      <c r="I13" s="19" t="s">
        <v>1</v>
      </c>
      <c r="J13" s="20" t="s">
        <v>2</v>
      </c>
    </row>
    <row r="14" spans="1:10" ht="15.75" customHeight="1" x14ac:dyDescent="0.2">
      <c r="A14" s="2"/>
      <c r="B14" s="25" t="s">
        <v>62</v>
      </c>
      <c r="C14" s="21"/>
      <c r="D14" s="21"/>
      <c r="E14" s="22">
        <f>Table1134145156167[[#This Row],[Projected Cost]]-Table1134145156167[[#This Row],[Actual Cost]]</f>
        <v>0</v>
      </c>
      <c r="F14" s="26"/>
      <c r="G14" s="25" t="s">
        <v>66</v>
      </c>
      <c r="H14" s="21"/>
      <c r="I14" s="21"/>
      <c r="J14" s="22">
        <f>Table2144155166177[[#This Row],[Projected Cost]]-Table2144155166177[[#This Row],[Actual Cost]]</f>
        <v>0</v>
      </c>
    </row>
    <row r="15" spans="1:10" ht="15.75" customHeight="1" x14ac:dyDescent="0.2">
      <c r="A15" s="2"/>
      <c r="B15" s="25" t="s">
        <v>3</v>
      </c>
      <c r="C15" s="21"/>
      <c r="D15" s="21"/>
      <c r="E15" s="22">
        <f>Table1134145156167[[#This Row],[Projected Cost]]-Table1134145156167[[#This Row],[Actual Cost]]</f>
        <v>0</v>
      </c>
      <c r="F15" s="26"/>
      <c r="G15" s="25" t="s">
        <v>61</v>
      </c>
      <c r="H15" s="21"/>
      <c r="I15" s="21"/>
      <c r="J15" s="22">
        <f>Table2144155166177[[#This Row],[Projected Cost]]-Table2144155166177[[#This Row],[Actual Cost]]</f>
        <v>0</v>
      </c>
    </row>
    <row r="16" spans="1:10" ht="15.75" customHeight="1" x14ac:dyDescent="0.2">
      <c r="A16" s="2"/>
      <c r="B16" s="25" t="s">
        <v>37</v>
      </c>
      <c r="C16" s="21"/>
      <c r="D16" s="21"/>
      <c r="E16" s="22">
        <f>Table1134145156167[[#This Row],[Projected Cost]]-Table1134145156167[[#This Row],[Actual Cost]]</f>
        <v>0</v>
      </c>
      <c r="F16" s="26"/>
      <c r="G16" s="25" t="s">
        <v>25</v>
      </c>
      <c r="H16" s="21"/>
      <c r="I16" s="21"/>
      <c r="J16" s="22">
        <f>Table2144155166177[[#This Row],[Projected Cost]]-Table2144155166177[[#This Row],[Actual Cost]]</f>
        <v>0</v>
      </c>
    </row>
    <row r="17" spans="1:10" ht="15.75" customHeight="1" x14ac:dyDescent="0.2">
      <c r="A17" s="2"/>
      <c r="B17" s="25" t="s">
        <v>4</v>
      </c>
      <c r="C17" s="21"/>
      <c r="D17" s="21"/>
      <c r="E17" s="22">
        <f>Table1134145156167[[#This Row],[Projected Cost]]-Table1134145156167[[#This Row],[Actual Cost]]</f>
        <v>0</v>
      </c>
      <c r="F17" s="26"/>
      <c r="G17" s="25" t="s">
        <v>26</v>
      </c>
      <c r="H17" s="21"/>
      <c r="I17" s="21"/>
      <c r="J17" s="22">
        <f>Table2144155166177[[#This Row],[Projected Cost]]-Table2144155166177[[#This Row],[Actual Cost]]</f>
        <v>0</v>
      </c>
    </row>
    <row r="18" spans="1:10" ht="15.75" customHeight="1" x14ac:dyDescent="0.2">
      <c r="A18" s="2"/>
      <c r="B18" s="25" t="s">
        <v>5</v>
      </c>
      <c r="C18" s="21"/>
      <c r="D18" s="21"/>
      <c r="E18" s="22">
        <f>Table1134145156167[[#This Row],[Projected Cost]]-Table1134145156167[[#This Row],[Actual Cost]]</f>
        <v>0</v>
      </c>
      <c r="F18" s="26"/>
      <c r="G18" s="25" t="s">
        <v>39</v>
      </c>
      <c r="H18" s="21"/>
      <c r="I18" s="21"/>
      <c r="J18" s="22">
        <f>Table2144155166177[[#This Row],[Projected Cost]]-Table2144155166177[[#This Row],[Actual Cost]]</f>
        <v>0</v>
      </c>
    </row>
    <row r="19" spans="1:10" ht="15.75" customHeight="1" x14ac:dyDescent="0.2">
      <c r="A19" s="2"/>
      <c r="B19" s="25" t="s">
        <v>6</v>
      </c>
      <c r="C19" s="21"/>
      <c r="D19" s="21"/>
      <c r="E19" s="22">
        <f>Table1134145156167[[#This Row],[Projected Cost]]-Table1134145156167[[#This Row],[Actual Cost]]</f>
        <v>0</v>
      </c>
      <c r="F19" s="26"/>
      <c r="G19" s="25" t="s">
        <v>27</v>
      </c>
      <c r="H19" s="21"/>
      <c r="I19" s="21"/>
      <c r="J19" s="22">
        <f>Table2144155166177[[#This Row],[Projected Cost]]-Table2144155166177[[#This Row],[Actual Cost]]</f>
        <v>0</v>
      </c>
    </row>
    <row r="20" spans="1:10" ht="15.75" customHeight="1" x14ac:dyDescent="0.2">
      <c r="A20" s="2"/>
      <c r="B20" s="25" t="s">
        <v>7</v>
      </c>
      <c r="C20" s="21"/>
      <c r="D20" s="21"/>
      <c r="E20" s="22">
        <f>Table1134145156167[[#This Row],[Projected Cost]]-Table1134145156167[[#This Row],[Actual Cost]]</f>
        <v>0</v>
      </c>
      <c r="F20" s="26"/>
      <c r="G20" s="25" t="s">
        <v>10</v>
      </c>
      <c r="H20" s="21"/>
      <c r="I20" s="21"/>
      <c r="J20" s="22">
        <f>Table2144155166177[[#This Row],[Projected Cost]]-Table2144155166177[[#This Row],[Actual Cost]]</f>
        <v>0</v>
      </c>
    </row>
    <row r="21" spans="1:10" ht="15.75" customHeight="1" x14ac:dyDescent="0.2">
      <c r="A21" s="2"/>
      <c r="B21" s="25" t="s">
        <v>8</v>
      </c>
      <c r="C21" s="21"/>
      <c r="D21" s="21"/>
      <c r="E21" s="22">
        <f>Table1134145156167[[#This Row],[Projected Cost]]-Table1134145156167[[#This Row],[Actual Cost]]</f>
        <v>0</v>
      </c>
      <c r="F21" s="26"/>
      <c r="G21" s="25" t="s">
        <v>10</v>
      </c>
      <c r="H21" s="21"/>
      <c r="I21" s="21"/>
      <c r="J21" s="22">
        <f>Table2144155166177[[#This Row],[Projected Cost]]-Table2144155166177[[#This Row],[Actual Cost]]</f>
        <v>0</v>
      </c>
    </row>
    <row r="22" spans="1:10" ht="15.75" customHeight="1" x14ac:dyDescent="0.2">
      <c r="A22" s="2"/>
      <c r="B22" s="25" t="s">
        <v>9</v>
      </c>
      <c r="C22" s="21"/>
      <c r="D22" s="21"/>
      <c r="E22" s="22">
        <f>Table1134145156167[[#This Row],[Projected Cost]]-Table1134145156167[[#This Row],[Actual Cost]]</f>
        <v>0</v>
      </c>
      <c r="F22" s="26"/>
      <c r="G22" s="25" t="s">
        <v>10</v>
      </c>
      <c r="H22" s="21"/>
      <c r="I22" s="21"/>
      <c r="J22" s="22">
        <f>Table2144155166177[[#This Row],[Projected Cost]]-Table2144155166177[[#This Row],[Actual Cost]]</f>
        <v>0</v>
      </c>
    </row>
    <row r="23" spans="1:10" ht="15.75" customHeight="1" x14ac:dyDescent="0.2">
      <c r="A23" s="2"/>
      <c r="B23" s="25" t="s">
        <v>10</v>
      </c>
      <c r="C23" s="21"/>
      <c r="D23" s="21"/>
      <c r="E23" s="22">
        <f>Table1134145156167[[#This Row],[Projected Cost]]-Table1134145156167[[#This Row],[Actual Cost]]</f>
        <v>0</v>
      </c>
      <c r="F23" s="26"/>
      <c r="G23" s="18" t="s">
        <v>57</v>
      </c>
      <c r="H23" s="23">
        <f>SUBTOTAL(109,Table2144155166177[Projected Cost])</f>
        <v>0</v>
      </c>
      <c r="I23" s="21">
        <f>SUBTOTAL(109,Table2144155166177[Actual Cost])</f>
        <v>0</v>
      </c>
      <c r="J23" s="24">
        <f>SUBTOTAL(109,Table2144155166177[Difference])</f>
        <v>0</v>
      </c>
    </row>
    <row r="24" spans="1:10" ht="15.75" customHeight="1" x14ac:dyDescent="0.2">
      <c r="A24" s="2"/>
      <c r="B24" s="18" t="s">
        <v>57</v>
      </c>
      <c r="C24" s="21">
        <f>SUBTOTAL(109,Table1134145156167[Projected Cost])</f>
        <v>0</v>
      </c>
      <c r="D24" s="21">
        <f>SUBTOTAL(109,Table1134145156167[Actual Cost])</f>
        <v>0</v>
      </c>
      <c r="E24" s="24">
        <f>SUBTOTAL(109,Table1134145156167[Difference])</f>
        <v>0</v>
      </c>
      <c r="F24" s="26"/>
      <c r="G24" s="32"/>
      <c r="H24" s="32"/>
      <c r="I24" s="32"/>
      <c r="J24" s="32"/>
    </row>
    <row r="25" spans="1:10" ht="15.75" customHeight="1" x14ac:dyDescent="0.2">
      <c r="A25" s="2"/>
      <c r="B25" s="31"/>
      <c r="C25" s="31"/>
      <c r="D25" s="31"/>
      <c r="E25" s="31"/>
      <c r="F25" s="26"/>
      <c r="G25" s="18" t="s">
        <v>67</v>
      </c>
      <c r="H25" s="19" t="s">
        <v>0</v>
      </c>
      <c r="I25" s="19" t="s">
        <v>1</v>
      </c>
      <c r="J25" s="20" t="s">
        <v>2</v>
      </c>
    </row>
    <row r="26" spans="1:10" ht="15.75" customHeight="1" x14ac:dyDescent="0.2">
      <c r="A26" s="2"/>
      <c r="B26" s="18" t="s">
        <v>45</v>
      </c>
      <c r="C26" s="19" t="s">
        <v>0</v>
      </c>
      <c r="D26" s="19" t="s">
        <v>1</v>
      </c>
      <c r="E26" s="20" t="s">
        <v>2</v>
      </c>
      <c r="F26" s="26"/>
      <c r="G26" s="25" t="s">
        <v>29</v>
      </c>
      <c r="H26" s="21"/>
      <c r="I26" s="21"/>
      <c r="J26" s="22">
        <f>Table8141152163174[[#This Row],[Projected Cost]]-Table8141152163174[[#This Row],[Actual Cost]]</f>
        <v>0</v>
      </c>
    </row>
    <row r="27" spans="1:10" ht="15.75" customHeight="1" x14ac:dyDescent="0.2">
      <c r="A27" s="2"/>
      <c r="B27" s="25" t="s">
        <v>38</v>
      </c>
      <c r="C27" s="21"/>
      <c r="D27" s="21"/>
      <c r="E27" s="22">
        <f>Table3140151162173[[#This Row],[Projected Cost]]-Table3140151162173[[#This Row],[Actual Cost]]</f>
        <v>0</v>
      </c>
      <c r="F27" s="26"/>
      <c r="G27" s="25" t="s">
        <v>33</v>
      </c>
      <c r="H27" s="21"/>
      <c r="I27" s="21"/>
      <c r="J27" s="22">
        <f>Table8141152163174[[#This Row],[Projected Cost]]-Table8141152163174[[#This Row],[Actual Cost]]</f>
        <v>0</v>
      </c>
    </row>
    <row r="28" spans="1:10" ht="15.75" customHeight="1" x14ac:dyDescent="0.2">
      <c r="A28" s="2"/>
      <c r="B28" s="25" t="s">
        <v>63</v>
      </c>
      <c r="C28" s="21"/>
      <c r="D28" s="21"/>
      <c r="E28" s="22">
        <f>Table3140151162173[[#This Row],[Projected Cost]]-Table3140151162173[[#This Row],[Actual Cost]]</f>
        <v>0</v>
      </c>
      <c r="F28" s="26"/>
      <c r="G28" s="25" t="s">
        <v>40</v>
      </c>
      <c r="H28" s="21"/>
      <c r="I28" s="21"/>
      <c r="J28" s="22">
        <f>Table8141152163174[[#This Row],[Projected Cost]]-Table8141152163174[[#This Row],[Actual Cost]]</f>
        <v>0</v>
      </c>
    </row>
    <row r="29" spans="1:10" ht="15.75" customHeight="1" x14ac:dyDescent="0.2">
      <c r="A29" s="2"/>
      <c r="B29" s="25" t="s">
        <v>11</v>
      </c>
      <c r="C29" s="21"/>
      <c r="D29" s="21"/>
      <c r="E29" s="22">
        <f>Table3140151162173[[#This Row],[Projected Cost]]-Table3140151162173[[#This Row],[Actual Cost]]</f>
        <v>0</v>
      </c>
      <c r="F29" s="26"/>
      <c r="G29" s="25" t="s">
        <v>40</v>
      </c>
      <c r="H29" s="21"/>
      <c r="I29" s="21"/>
      <c r="J29" s="22">
        <f>Table8141152163174[[#This Row],[Projected Cost]]-Table8141152163174[[#This Row],[Actual Cost]]</f>
        <v>0</v>
      </c>
    </row>
    <row r="30" spans="1:10" ht="15.75" customHeight="1" x14ac:dyDescent="0.2">
      <c r="A30" s="2"/>
      <c r="B30" s="25" t="s">
        <v>12</v>
      </c>
      <c r="C30" s="21"/>
      <c r="D30" s="21"/>
      <c r="E30" s="22">
        <f>Table3140151162173[[#This Row],[Projected Cost]]-Table3140151162173[[#This Row],[Actual Cost]]</f>
        <v>0</v>
      </c>
      <c r="F30" s="26"/>
      <c r="G30" s="25" t="s">
        <v>40</v>
      </c>
      <c r="H30" s="21"/>
      <c r="I30" s="21"/>
      <c r="J30" s="22">
        <f>Table8141152163174[[#This Row],[Projected Cost]]-Table8141152163174[[#This Row],[Actual Cost]]</f>
        <v>0</v>
      </c>
    </row>
    <row r="31" spans="1:10" ht="15.75" customHeight="1" x14ac:dyDescent="0.2">
      <c r="A31" s="2"/>
      <c r="B31" s="25" t="s">
        <v>13</v>
      </c>
      <c r="C31" s="21"/>
      <c r="D31" s="21"/>
      <c r="E31" s="22">
        <f>Table3140151162173[[#This Row],[Projected Cost]]-Table3140151162173[[#This Row],[Actual Cost]]</f>
        <v>0</v>
      </c>
      <c r="F31" s="26"/>
      <c r="G31" s="25" t="s">
        <v>10</v>
      </c>
      <c r="H31" s="21"/>
      <c r="I31" s="21"/>
      <c r="J31" s="22">
        <f>Table8141152163174[[#This Row],[Projected Cost]]-Table8141152163174[[#This Row],[Actual Cost]]</f>
        <v>0</v>
      </c>
    </row>
    <row r="32" spans="1:10" ht="15.75" customHeight="1" x14ac:dyDescent="0.2">
      <c r="A32" s="2"/>
      <c r="B32" s="25" t="s">
        <v>14</v>
      </c>
      <c r="C32" s="21"/>
      <c r="D32" s="21"/>
      <c r="E32" s="22">
        <f>Table3140151162173[[#This Row],[Projected Cost]]-Table3140151162173[[#This Row],[Actual Cost]]</f>
        <v>0</v>
      </c>
      <c r="F32" s="26"/>
      <c r="G32" s="18" t="s">
        <v>57</v>
      </c>
      <c r="H32" s="21">
        <f>SUBTOTAL(109,Table8141152163174[Projected Cost])</f>
        <v>0</v>
      </c>
      <c r="I32" s="21">
        <f>SUBTOTAL(109,Table8141152163174[Actual Cost])</f>
        <v>0</v>
      </c>
      <c r="J32" s="24">
        <f>SUBTOTAL(109,Table8141152163174[Difference])</f>
        <v>0</v>
      </c>
    </row>
    <row r="33" spans="1:10" ht="15.75" customHeight="1" x14ac:dyDescent="0.2">
      <c r="A33" s="2"/>
      <c r="B33" s="25" t="s">
        <v>10</v>
      </c>
      <c r="C33" s="21"/>
      <c r="D33" s="21"/>
      <c r="E33" s="22">
        <f>Table3140151162173[[#This Row],[Projected Cost]]-Table3140151162173[[#This Row],[Actual Cost]]</f>
        <v>0</v>
      </c>
      <c r="F33" s="26"/>
      <c r="G33" s="31"/>
      <c r="H33" s="31"/>
      <c r="I33" s="31"/>
      <c r="J33" s="31"/>
    </row>
    <row r="34" spans="1:10" ht="15.75" customHeight="1" x14ac:dyDescent="0.2">
      <c r="A34" s="2"/>
      <c r="B34" s="18" t="s">
        <v>57</v>
      </c>
      <c r="C34" s="21">
        <f>SUBTOTAL(109,Table3140151162173[Projected Cost])</f>
        <v>0</v>
      </c>
      <c r="D34" s="21">
        <f>SUBTOTAL(109,Table3140151162173[Actual Cost])</f>
        <v>0</v>
      </c>
      <c r="E34" s="24">
        <f>SUBTOTAL(109,Table3140151162173[Difference])</f>
        <v>0</v>
      </c>
      <c r="F34" s="26"/>
      <c r="G34" s="18" t="s">
        <v>10</v>
      </c>
      <c r="H34" s="19" t="s">
        <v>0</v>
      </c>
      <c r="I34" s="19" t="s">
        <v>1</v>
      </c>
      <c r="J34" s="20" t="s">
        <v>2</v>
      </c>
    </row>
    <row r="35" spans="1:10" ht="15.75" customHeight="1" x14ac:dyDescent="0.2">
      <c r="A35" s="2"/>
      <c r="B35" s="31"/>
      <c r="C35" s="31"/>
      <c r="D35" s="31"/>
      <c r="E35" s="31"/>
      <c r="F35" s="26"/>
      <c r="G35" s="25" t="s">
        <v>10</v>
      </c>
      <c r="H35" s="21"/>
      <c r="I35" s="21"/>
      <c r="J35" s="22">
        <f>Table9139150161172[[#This Row],[Projected Cost]]-Table9139150161172[[#This Row],[Actual Cost]]</f>
        <v>0</v>
      </c>
    </row>
    <row r="36" spans="1:10" ht="15.75" customHeight="1" x14ac:dyDescent="0.2">
      <c r="A36" s="2"/>
      <c r="B36" s="18" t="s">
        <v>46</v>
      </c>
      <c r="C36" s="19" t="s">
        <v>0</v>
      </c>
      <c r="D36" s="19" t="s">
        <v>1</v>
      </c>
      <c r="E36" s="20" t="s">
        <v>2</v>
      </c>
      <c r="F36" s="26"/>
      <c r="G36" s="25" t="s">
        <v>10</v>
      </c>
      <c r="H36" s="21"/>
      <c r="I36" s="21"/>
      <c r="J36" s="22">
        <f>Table9139150161172[[#This Row],[Projected Cost]]-Table9139150161172[[#This Row],[Actual Cost]]</f>
        <v>0</v>
      </c>
    </row>
    <row r="37" spans="1:10" ht="15.75" customHeight="1" x14ac:dyDescent="0.2">
      <c r="A37" s="2"/>
      <c r="B37" s="25" t="s">
        <v>64</v>
      </c>
      <c r="C37" s="21"/>
      <c r="D37" s="21"/>
      <c r="E37" s="22">
        <f>Table4135146157168[[#This Row],[Projected Cost]]-Table4135146157168[[#This Row],[Actual Cost]]</f>
        <v>0</v>
      </c>
      <c r="F37" s="26"/>
      <c r="G37" s="25" t="s">
        <v>10</v>
      </c>
      <c r="H37" s="21"/>
      <c r="I37" s="21"/>
      <c r="J37" s="22">
        <f>Table9139150161172[[#This Row],[Projected Cost]]-Table9139150161172[[#This Row],[Actual Cost]]</f>
        <v>0</v>
      </c>
    </row>
    <row r="38" spans="1:10" ht="15.75" customHeight="1" x14ac:dyDescent="0.2">
      <c r="A38" s="2"/>
      <c r="B38" s="25" t="s">
        <v>15</v>
      </c>
      <c r="C38" s="21"/>
      <c r="D38" s="21"/>
      <c r="E38" s="22">
        <f>Table4135146157168[[#This Row],[Projected Cost]]-Table4135146157168[[#This Row],[Actual Cost]]</f>
        <v>0</v>
      </c>
      <c r="F38" s="26"/>
      <c r="G38" s="25" t="s">
        <v>10</v>
      </c>
      <c r="H38" s="21"/>
      <c r="I38" s="21"/>
      <c r="J38" s="22">
        <f>Table9139150161172[[#This Row],[Projected Cost]]-Table9139150161172[[#This Row],[Actual Cost]]</f>
        <v>0</v>
      </c>
    </row>
    <row r="39" spans="1:10" ht="15.75" customHeight="1" x14ac:dyDescent="0.2">
      <c r="A39" s="2"/>
      <c r="B39" s="25" t="s">
        <v>16</v>
      </c>
      <c r="C39" s="21"/>
      <c r="D39" s="21"/>
      <c r="E39" s="22">
        <f>Table4135146157168[[#This Row],[Projected Cost]]-Table4135146157168[[#This Row],[Actual Cost]]</f>
        <v>0</v>
      </c>
      <c r="F39" s="26"/>
      <c r="G39" s="18" t="s">
        <v>57</v>
      </c>
      <c r="H39" s="21">
        <f>SUBTOTAL(109,Table9139150161172[Projected Cost])</f>
        <v>0</v>
      </c>
      <c r="I39" s="21">
        <f>SUBTOTAL(109,Table9139150161172[Actual Cost])</f>
        <v>0</v>
      </c>
      <c r="J39" s="24">
        <f>SUBTOTAL(109,Table9139150161172[Difference])</f>
        <v>0</v>
      </c>
    </row>
    <row r="40" spans="1:10" ht="15.75" customHeight="1" x14ac:dyDescent="0.2">
      <c r="A40" s="2"/>
      <c r="B40" s="25" t="s">
        <v>10</v>
      </c>
      <c r="C40" s="21"/>
      <c r="D40" s="21"/>
      <c r="E40" s="22">
        <f>Table4135146157168[[#This Row],[Projected Cost]]-Table4135146157168[[#This Row],[Actual Cost]]</f>
        <v>0</v>
      </c>
      <c r="F40" s="26"/>
      <c r="G40" s="31"/>
      <c r="H40" s="31"/>
      <c r="I40" s="31"/>
      <c r="J40" s="31"/>
    </row>
    <row r="41" spans="1:10" ht="15.75" customHeight="1" x14ac:dyDescent="0.2">
      <c r="A41" s="2"/>
      <c r="B41" s="18" t="s">
        <v>57</v>
      </c>
      <c r="C41" s="21">
        <f>SUBTOTAL(109,Table4135146157168[Projected Cost])</f>
        <v>0</v>
      </c>
      <c r="D41" s="21">
        <f>SUBTOTAL(109,Table4135146157168[Actual Cost])</f>
        <v>0</v>
      </c>
      <c r="E41" s="24">
        <f>SUBTOTAL(109,Table4135146157168[Difference])</f>
        <v>0</v>
      </c>
      <c r="F41" s="26"/>
      <c r="G41" s="18" t="s">
        <v>48</v>
      </c>
      <c r="H41" s="19" t="s">
        <v>0</v>
      </c>
      <c r="I41" s="19" t="s">
        <v>1</v>
      </c>
      <c r="J41" s="20" t="s">
        <v>2</v>
      </c>
    </row>
    <row r="42" spans="1:10" ht="15.75" customHeight="1" x14ac:dyDescent="0.2">
      <c r="A42" s="2"/>
      <c r="B42" s="31"/>
      <c r="C42" s="31"/>
      <c r="D42" s="31"/>
      <c r="E42" s="31"/>
      <c r="F42" s="26"/>
      <c r="G42" s="25" t="s">
        <v>41</v>
      </c>
      <c r="H42" s="21"/>
      <c r="I42" s="21"/>
      <c r="J42" s="22">
        <f>Table10142153164175[[#This Row],[Projected Cost]]-Table10142153164175[[#This Row],[Actual Cost]]</f>
        <v>0</v>
      </c>
    </row>
    <row r="43" spans="1:10" ht="15.75" customHeight="1" x14ac:dyDescent="0.2">
      <c r="A43" s="2"/>
      <c r="B43" s="18" t="s">
        <v>47</v>
      </c>
      <c r="C43" s="19" t="s">
        <v>0</v>
      </c>
      <c r="D43" s="19" t="s">
        <v>1</v>
      </c>
      <c r="E43" s="20" t="s">
        <v>2</v>
      </c>
      <c r="F43" s="26"/>
      <c r="G43" s="25" t="s">
        <v>42</v>
      </c>
      <c r="H43" s="21"/>
      <c r="I43" s="21"/>
      <c r="J43" s="22">
        <f>Table10142153164175[[#This Row],[Projected Cost]]-Table10142153164175[[#This Row],[Actual Cost]]</f>
        <v>0</v>
      </c>
    </row>
    <row r="44" spans="1:10" ht="15.75" customHeight="1" x14ac:dyDescent="0.2">
      <c r="A44" s="2"/>
      <c r="B44" s="25" t="s">
        <v>17</v>
      </c>
      <c r="C44" s="21"/>
      <c r="D44" s="21"/>
      <c r="E44" s="22">
        <f>Table5138149160171[[#This Row],[Projected Cost]]-Table5138149160171[[#This Row],[Actual Cost]]</f>
        <v>0</v>
      </c>
      <c r="F44" s="26"/>
      <c r="G44" s="25" t="s">
        <v>10</v>
      </c>
      <c r="H44" s="21"/>
      <c r="I44" s="21"/>
      <c r="J44" s="22">
        <f>Table10142153164175[[#This Row],[Projected Cost]]-Table10142153164175[[#This Row],[Actual Cost]]</f>
        <v>0</v>
      </c>
    </row>
    <row r="45" spans="1:10" ht="15.75" customHeight="1" x14ac:dyDescent="0.2">
      <c r="A45" s="2"/>
      <c r="B45" s="25" t="s">
        <v>24</v>
      </c>
      <c r="C45" s="21"/>
      <c r="D45" s="21"/>
      <c r="E45" s="22">
        <f>Table5138149160171[[#This Row],[Projected Cost]]-Table5138149160171[[#This Row],[Actual Cost]]</f>
        <v>0</v>
      </c>
      <c r="F45" s="26"/>
      <c r="G45" s="18" t="s">
        <v>57</v>
      </c>
      <c r="H45" s="21">
        <f>SUBTOTAL(109,Table10142153164175[Projected Cost])</f>
        <v>0</v>
      </c>
      <c r="I45" s="21">
        <f>SUBTOTAL(109,Table10142153164175[Actual Cost])</f>
        <v>0</v>
      </c>
      <c r="J45" s="24">
        <f>SUBTOTAL(109,Table10142153164175[Difference])</f>
        <v>0</v>
      </c>
    </row>
    <row r="46" spans="1:10" ht="15.75" customHeight="1" x14ac:dyDescent="0.2">
      <c r="A46" s="2"/>
      <c r="B46" s="25" t="s">
        <v>10</v>
      </c>
      <c r="C46" s="21"/>
      <c r="D46" s="21"/>
      <c r="E46" s="22">
        <f>Table5138149160171[[#This Row],[Projected Cost]]-Table5138149160171[[#This Row],[Actual Cost]]</f>
        <v>0</v>
      </c>
      <c r="F46" s="26"/>
      <c r="G46" s="31"/>
      <c r="H46" s="31"/>
      <c r="I46" s="31"/>
      <c r="J46" s="31"/>
    </row>
    <row r="47" spans="1:10" ht="15.75" customHeight="1" x14ac:dyDescent="0.2">
      <c r="A47" s="2"/>
      <c r="B47" s="18" t="s">
        <v>57</v>
      </c>
      <c r="C47" s="21">
        <f>SUBTOTAL(109,Table5138149160171[Projected Cost])</f>
        <v>0</v>
      </c>
      <c r="D47" s="21">
        <f>SUBTOTAL(109,Table5138149160171[Actual Cost])</f>
        <v>0</v>
      </c>
      <c r="E47" s="24">
        <f>SUBTOTAL(109,Table5138149160171[Difference])</f>
        <v>0</v>
      </c>
      <c r="F47" s="26"/>
      <c r="G47" s="18" t="s">
        <v>49</v>
      </c>
      <c r="H47" s="19" t="s">
        <v>0</v>
      </c>
      <c r="I47" s="19" t="s">
        <v>1</v>
      </c>
      <c r="J47" s="20" t="s">
        <v>2</v>
      </c>
    </row>
    <row r="48" spans="1:10" ht="15.75" customHeight="1" x14ac:dyDescent="0.2">
      <c r="A48" s="2"/>
      <c r="B48" s="31"/>
      <c r="C48" s="31"/>
      <c r="D48" s="31"/>
      <c r="E48" s="31"/>
      <c r="F48" s="26"/>
      <c r="G48" s="25" t="s">
        <v>30</v>
      </c>
      <c r="H48" s="21"/>
      <c r="I48" s="21"/>
      <c r="J48" s="22">
        <f>Table11137148159170[[#This Row],[Projected Cost]]-Table11137148159170[[#This Row],[Actual Cost]]</f>
        <v>0</v>
      </c>
    </row>
    <row r="49" spans="1:10" ht="15.75" customHeight="1" x14ac:dyDescent="0.2">
      <c r="A49" s="2"/>
      <c r="B49" s="18" t="s">
        <v>50</v>
      </c>
      <c r="C49" s="19" t="s">
        <v>0</v>
      </c>
      <c r="D49" s="19" t="s">
        <v>1</v>
      </c>
      <c r="E49" s="20" t="s">
        <v>2</v>
      </c>
      <c r="F49" s="26"/>
      <c r="G49" s="25" t="s">
        <v>31</v>
      </c>
      <c r="H49" s="21"/>
      <c r="I49" s="21"/>
      <c r="J49" s="22">
        <f>Table11137148159170[[#This Row],[Projected Cost]]-Table11137148159170[[#This Row],[Actual Cost]]</f>
        <v>0</v>
      </c>
    </row>
    <row r="50" spans="1:10" ht="15.75" customHeight="1" x14ac:dyDescent="0.2">
      <c r="A50" s="2"/>
      <c r="B50" s="25" t="s">
        <v>18</v>
      </c>
      <c r="C50" s="21"/>
      <c r="D50" s="21"/>
      <c r="E50" s="22">
        <f>Table6136147158169[[#This Row],[Projected Cost]]-Table6136147158169[[#This Row],[Actual Cost]]</f>
        <v>0</v>
      </c>
      <c r="F50" s="26"/>
      <c r="G50" s="25" t="s">
        <v>36</v>
      </c>
      <c r="H50" s="21"/>
      <c r="I50" s="21"/>
      <c r="J50" s="22">
        <f>Table11137148159170[[#This Row],[Projected Cost]]-Table11137148159170[[#This Row],[Actual Cost]]</f>
        <v>0</v>
      </c>
    </row>
    <row r="51" spans="1:10" ht="15.75" customHeight="1" x14ac:dyDescent="0.2">
      <c r="A51" s="2"/>
      <c r="B51" s="25" t="s">
        <v>20</v>
      </c>
      <c r="C51" s="21"/>
      <c r="D51" s="21"/>
      <c r="E51" s="22">
        <f>Table6136147158169[[#This Row],[Projected Cost]]-Table6136147158169[[#This Row],[Actual Cost]]</f>
        <v>0</v>
      </c>
      <c r="F51" s="26"/>
      <c r="G51" s="18" t="s">
        <v>57</v>
      </c>
      <c r="H51" s="21">
        <f>SUBTOTAL(109,Table11137148159170[Projected Cost])</f>
        <v>0</v>
      </c>
      <c r="I51" s="21">
        <f>SUBTOTAL(109,Table11137148159170[Actual Cost])</f>
        <v>0</v>
      </c>
      <c r="J51" s="24">
        <f>SUBTOTAL(109,Table11137148159170[Difference])</f>
        <v>0</v>
      </c>
    </row>
    <row r="52" spans="1:10" ht="15.75" customHeight="1" x14ac:dyDescent="0.2">
      <c r="A52" s="2"/>
      <c r="B52" s="25" t="s">
        <v>21</v>
      </c>
      <c r="C52" s="21"/>
      <c r="D52" s="21"/>
      <c r="E52" s="22">
        <f>Table6136147158169[[#This Row],[Projected Cost]]-Table6136147158169[[#This Row],[Actual Cost]]</f>
        <v>0</v>
      </c>
      <c r="F52" s="26"/>
      <c r="G52" s="31"/>
      <c r="H52" s="31"/>
      <c r="I52" s="31"/>
      <c r="J52" s="31"/>
    </row>
    <row r="53" spans="1:10" ht="15.75" customHeight="1" x14ac:dyDescent="0.2">
      <c r="A53" s="2"/>
      <c r="B53" s="25" t="s">
        <v>19</v>
      </c>
      <c r="C53" s="21"/>
      <c r="D53" s="21"/>
      <c r="E53" s="22">
        <f>Table6136147158169[[#This Row],[Projected Cost]]-Table6136147158169[[#This Row],[Actual Cost]]</f>
        <v>0</v>
      </c>
      <c r="F53" s="26"/>
      <c r="G53" s="34" t="s">
        <v>54</v>
      </c>
      <c r="H53" s="34"/>
      <c r="I53" s="34"/>
      <c r="J53" s="35">
        <f>SUM(C24,C34,C41,C47,C55,C65,H23,H32,H39,H45,H51)</f>
        <v>0</v>
      </c>
    </row>
    <row r="54" spans="1:10" ht="15.75" customHeight="1" x14ac:dyDescent="0.2">
      <c r="A54" s="2"/>
      <c r="B54" s="25" t="s">
        <v>10</v>
      </c>
      <c r="C54" s="21"/>
      <c r="D54" s="21"/>
      <c r="E54" s="22">
        <f>Table6136147158169[[#This Row],[Projected Cost]]-Table6136147158169[[#This Row],[Actual Cost]]</f>
        <v>0</v>
      </c>
      <c r="F54" s="26"/>
      <c r="G54" s="34"/>
      <c r="H54" s="34"/>
      <c r="I54" s="34"/>
      <c r="J54" s="35"/>
    </row>
    <row r="55" spans="1:10" ht="15.75" customHeight="1" x14ac:dyDescent="0.2">
      <c r="A55" s="2"/>
      <c r="B55" s="18" t="s">
        <v>57</v>
      </c>
      <c r="C55" s="21">
        <f>SUBTOTAL(109,Table6136147158169[Projected Cost])</f>
        <v>0</v>
      </c>
      <c r="D55" s="21">
        <f>SUBTOTAL(109,Table6136147158169[Actual Cost])</f>
        <v>0</v>
      </c>
      <c r="E55" s="24">
        <f>SUBTOTAL(109,Table6136147158169[Difference])</f>
        <v>0</v>
      </c>
      <c r="F55" s="26"/>
      <c r="G55" s="34" t="s">
        <v>55</v>
      </c>
      <c r="H55" s="34"/>
      <c r="I55" s="34"/>
      <c r="J55" s="35">
        <f>SUM(D24,D34,D41,D47,D55,D65,I23,I32,I39,I45,I51)</f>
        <v>0</v>
      </c>
    </row>
    <row r="56" spans="1:10" ht="15.75" customHeight="1" x14ac:dyDescent="0.2">
      <c r="A56" s="2"/>
      <c r="B56" s="31"/>
      <c r="C56" s="31"/>
      <c r="D56" s="31"/>
      <c r="E56" s="31"/>
      <c r="F56" s="26"/>
      <c r="G56" s="34"/>
      <c r="H56" s="34"/>
      <c r="I56" s="34"/>
      <c r="J56" s="35"/>
    </row>
    <row r="57" spans="1:10" ht="15.75" customHeight="1" x14ac:dyDescent="0.2">
      <c r="A57" s="2"/>
      <c r="B57" s="18" t="s">
        <v>51</v>
      </c>
      <c r="C57" s="19" t="s">
        <v>0</v>
      </c>
      <c r="D57" s="19" t="s">
        <v>1</v>
      </c>
      <c r="E57" s="20" t="s">
        <v>2</v>
      </c>
      <c r="F57" s="26"/>
      <c r="G57" s="34" t="s">
        <v>56</v>
      </c>
      <c r="H57" s="34"/>
      <c r="I57" s="34"/>
      <c r="J57" s="35">
        <f>SUM(E24,E34,E41,E47,E55,E65,J23,J32,J39,J45,J51)</f>
        <v>0</v>
      </c>
    </row>
    <row r="58" spans="1:10" ht="15.75" customHeight="1" x14ac:dyDescent="0.2">
      <c r="A58" s="2"/>
      <c r="B58" s="25" t="s">
        <v>20</v>
      </c>
      <c r="C58" s="21"/>
      <c r="D58" s="21"/>
      <c r="E58" s="22">
        <f>Table7143154165176[[#This Row],[Projected Cost]]-Table7143154165176[[#This Row],[Actual Cost]]</f>
        <v>0</v>
      </c>
      <c r="F58" s="26"/>
      <c r="G58" s="34"/>
      <c r="H58" s="34"/>
      <c r="I58" s="34"/>
      <c r="J58" s="35"/>
    </row>
    <row r="59" spans="1:10" ht="15.75" customHeight="1" x14ac:dyDescent="0.2">
      <c r="A59" s="2"/>
      <c r="B59" s="25" t="s">
        <v>23</v>
      </c>
      <c r="C59" s="21"/>
      <c r="D59" s="21"/>
      <c r="E59" s="22">
        <f>Table7143154165176[[#This Row],[Projected Cost]]-Table7143154165176[[#This Row],[Actual Cost]]</f>
        <v>0</v>
      </c>
      <c r="F59" s="14"/>
    </row>
    <row r="60" spans="1:10" ht="15.75" customHeight="1" x14ac:dyDescent="0.2">
      <c r="A60" s="2"/>
      <c r="B60" s="25" t="s">
        <v>22</v>
      </c>
      <c r="C60" s="21"/>
      <c r="D60" s="21"/>
      <c r="E60" s="22">
        <f>Table7143154165176[[#This Row],[Projected Cost]]-Table7143154165176[[#This Row],[Actual Cost]]</f>
        <v>0</v>
      </c>
      <c r="F60" s="14"/>
    </row>
    <row r="61" spans="1:10" ht="15.75" customHeight="1" x14ac:dyDescent="0.2">
      <c r="A61" s="2"/>
      <c r="B61" s="25" t="s">
        <v>28</v>
      </c>
      <c r="C61" s="21"/>
      <c r="D61" s="21"/>
      <c r="E61" s="22">
        <f>Table7143154165176[[#This Row],[Projected Cost]]-Table7143154165176[[#This Row],[Actual Cost]]</f>
        <v>0</v>
      </c>
      <c r="F61" s="14"/>
    </row>
    <row r="62" spans="1:10" ht="15.75" customHeight="1" x14ac:dyDescent="0.2">
      <c r="A62" s="2"/>
      <c r="B62" s="25" t="s">
        <v>65</v>
      </c>
      <c r="C62" s="21"/>
      <c r="D62" s="21"/>
      <c r="E62" s="22">
        <f>Table7143154165176[[#This Row],[Projected Cost]]-Table7143154165176[[#This Row],[Actual Cost]]</f>
        <v>0</v>
      </c>
      <c r="F62" s="14"/>
    </row>
    <row r="63" spans="1:10" ht="15.75" customHeight="1" x14ac:dyDescent="0.2">
      <c r="A63" s="2"/>
      <c r="B63" s="25" t="s">
        <v>32</v>
      </c>
      <c r="C63" s="21"/>
      <c r="D63" s="21"/>
      <c r="E63" s="22">
        <f>Table7143154165176[[#This Row],[Projected Cost]]-Table7143154165176[[#This Row],[Actual Cost]]</f>
        <v>0</v>
      </c>
      <c r="F63" s="14"/>
    </row>
    <row r="64" spans="1:10" ht="15.75" customHeight="1" x14ac:dyDescent="0.2">
      <c r="A64" s="2"/>
      <c r="B64" s="25" t="s">
        <v>10</v>
      </c>
      <c r="C64" s="21"/>
      <c r="D64" s="21"/>
      <c r="E64" s="22">
        <f>Table7143154165176[[#This Row],[Projected Cost]]-Table7143154165176[[#This Row],[Actual Cost]]</f>
        <v>0</v>
      </c>
      <c r="F64" s="14"/>
    </row>
    <row r="65" spans="1:6" ht="15.75" customHeight="1" x14ac:dyDescent="0.2">
      <c r="A65" s="2"/>
      <c r="B65" s="18" t="s">
        <v>57</v>
      </c>
      <c r="C65" s="21">
        <f>SUBTOTAL(109,Table7143154165176[Projected Cost])</f>
        <v>0</v>
      </c>
      <c r="D65" s="21">
        <f>SUBTOTAL(109,Table7143154165176[Actual Cost])</f>
        <v>0</v>
      </c>
      <c r="E65" s="24">
        <f>SUBTOTAL(109,Table7143154165176[Difference])</f>
        <v>0</v>
      </c>
      <c r="F65" s="14"/>
    </row>
    <row r="66" spans="1:6" ht="15.75" customHeight="1" x14ac:dyDescent="0.2">
      <c r="B66" t="s">
        <v>70</v>
      </c>
    </row>
  </sheetData>
  <mergeCells count="32">
    <mergeCell ref="B2:J2"/>
    <mergeCell ref="B3:D3"/>
    <mergeCell ref="B4:B7"/>
    <mergeCell ref="C4:D4"/>
    <mergeCell ref="G4:I6"/>
    <mergeCell ref="J4:J6"/>
    <mergeCell ref="C5:D5"/>
    <mergeCell ref="C7:D7"/>
    <mergeCell ref="G7:I9"/>
    <mergeCell ref="J7:J9"/>
    <mergeCell ref="B42:E42"/>
    <mergeCell ref="B8:B11"/>
    <mergeCell ref="C8:D8"/>
    <mergeCell ref="C10:D10"/>
    <mergeCell ref="G10:I11"/>
    <mergeCell ref="G24:J24"/>
    <mergeCell ref="B25:E25"/>
    <mergeCell ref="G33:J33"/>
    <mergeCell ref="B35:E35"/>
    <mergeCell ref="G40:J40"/>
    <mergeCell ref="J10:J11"/>
    <mergeCell ref="C11:D11"/>
    <mergeCell ref="G57:I58"/>
    <mergeCell ref="J57:J58"/>
    <mergeCell ref="G46:J46"/>
    <mergeCell ref="B48:E48"/>
    <mergeCell ref="G52:J52"/>
    <mergeCell ref="G53:I54"/>
    <mergeCell ref="J53:J54"/>
    <mergeCell ref="G55:I56"/>
    <mergeCell ref="J55:J56"/>
    <mergeCell ref="B56:E56"/>
  </mergeCells>
  <conditionalFormatting sqref="E14:E24 E27:E34 E37:E41 E44:E47 E50:E55 E58:E65 J14:J23 J26:J32 J35:J39 J42:J45 J48:J51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AEC63-02BD-480E-935C-CE000156EF76}">
  <sheetPr>
    <pageSetUpPr autoPageBreaks="0" fitToPage="1"/>
  </sheetPr>
  <dimension ref="A1:J66"/>
  <sheetViews>
    <sheetView showGridLines="0" topLeftCell="A40" workbookViewId="0">
      <selection activeCell="J53" sqref="J53:J58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3" t="s">
        <v>34</v>
      </c>
      <c r="C2" s="33"/>
      <c r="D2" s="33"/>
      <c r="E2" s="33"/>
      <c r="F2" s="33"/>
      <c r="G2" s="33"/>
      <c r="H2" s="33"/>
      <c r="I2" s="33"/>
      <c r="J2" s="33"/>
    </row>
    <row r="3" spans="1:10" ht="8.1" customHeight="1" x14ac:dyDescent="0.2">
      <c r="A3" s="2"/>
      <c r="B3" s="43"/>
      <c r="C3" s="43"/>
      <c r="D3" s="43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40" t="s">
        <v>53</v>
      </c>
      <c r="C4" s="38" t="s">
        <v>68</v>
      </c>
      <c r="D4" s="39"/>
      <c r="E4" s="17">
        <v>0</v>
      </c>
      <c r="F4" s="5"/>
      <c r="G4" s="44" t="s">
        <v>58</v>
      </c>
      <c r="H4" s="45"/>
      <c r="I4" s="46"/>
      <c r="J4" s="53">
        <f>E7-J53</f>
        <v>0</v>
      </c>
    </row>
    <row r="5" spans="1:10" ht="15.95" customHeight="1" x14ac:dyDescent="0.2">
      <c r="A5" s="2"/>
      <c r="B5" s="41"/>
      <c r="C5" s="38" t="s">
        <v>69</v>
      </c>
      <c r="D5" s="39"/>
      <c r="E5" s="17">
        <v>0</v>
      </c>
      <c r="F5" s="5"/>
      <c r="G5" s="47"/>
      <c r="H5" s="48"/>
      <c r="I5" s="49"/>
      <c r="J5" s="54"/>
    </row>
    <row r="6" spans="1:10" ht="15.95" customHeight="1" x14ac:dyDescent="0.2">
      <c r="A6" s="2"/>
      <c r="B6" s="41"/>
      <c r="C6" s="27" t="s">
        <v>10</v>
      </c>
      <c r="D6" s="28"/>
      <c r="E6" s="17">
        <v>0</v>
      </c>
      <c r="F6" s="5"/>
      <c r="G6" s="50"/>
      <c r="H6" s="51"/>
      <c r="I6" s="52"/>
      <c r="J6" s="55"/>
    </row>
    <row r="7" spans="1:10" ht="15.95" customHeight="1" x14ac:dyDescent="0.2">
      <c r="A7" s="2"/>
      <c r="B7" s="42"/>
      <c r="C7" s="36" t="s">
        <v>35</v>
      </c>
      <c r="D7" s="37"/>
      <c r="E7" s="30">
        <f>SUM(E4:E6)</f>
        <v>0</v>
      </c>
      <c r="F7" s="5"/>
      <c r="G7" s="44" t="s">
        <v>59</v>
      </c>
      <c r="H7" s="45"/>
      <c r="I7" s="46"/>
      <c r="J7" s="53">
        <f>E11-J55</f>
        <v>0</v>
      </c>
    </row>
    <row r="8" spans="1:10" ht="15.95" customHeight="1" x14ac:dyDescent="0.2">
      <c r="A8" s="2"/>
      <c r="B8" s="40" t="s">
        <v>52</v>
      </c>
      <c r="C8" s="38" t="s">
        <v>68</v>
      </c>
      <c r="D8" s="39"/>
      <c r="E8" s="17">
        <v>0</v>
      </c>
      <c r="F8" s="5"/>
      <c r="G8" s="47"/>
      <c r="H8" s="48"/>
      <c r="I8" s="49"/>
      <c r="J8" s="54"/>
    </row>
    <row r="9" spans="1:10" ht="15.95" customHeight="1" x14ac:dyDescent="0.2">
      <c r="A9" s="2"/>
      <c r="B9" s="41"/>
      <c r="C9" s="27" t="s">
        <v>69</v>
      </c>
      <c r="D9" s="28"/>
      <c r="E9" s="17">
        <v>0</v>
      </c>
      <c r="F9" s="5"/>
      <c r="G9" s="50"/>
      <c r="H9" s="51"/>
      <c r="I9" s="52"/>
      <c r="J9" s="55"/>
    </row>
    <row r="10" spans="1:10" ht="15.95" customHeight="1" x14ac:dyDescent="0.2">
      <c r="A10" s="2"/>
      <c r="B10" s="41"/>
      <c r="C10" s="38" t="s">
        <v>10</v>
      </c>
      <c r="D10" s="39"/>
      <c r="E10" s="17">
        <v>0</v>
      </c>
      <c r="F10" s="5"/>
      <c r="G10" s="34" t="s">
        <v>60</v>
      </c>
      <c r="H10" s="34"/>
      <c r="I10" s="34"/>
      <c r="J10" s="35">
        <f>J7-J4</f>
        <v>0</v>
      </c>
    </row>
    <row r="11" spans="1:10" ht="15.95" customHeight="1" x14ac:dyDescent="0.2">
      <c r="A11" s="2"/>
      <c r="B11" s="42"/>
      <c r="C11" s="36" t="s">
        <v>35</v>
      </c>
      <c r="D11" s="37"/>
      <c r="E11" s="30">
        <f>SUM(E8:E10)</f>
        <v>0</v>
      </c>
      <c r="F11" s="5"/>
      <c r="G11" s="34"/>
      <c r="H11" s="34"/>
      <c r="I11" s="34"/>
      <c r="J11" s="35"/>
    </row>
    <row r="12" spans="1:10" ht="15.95" customHeight="1" x14ac:dyDescent="0.2">
      <c r="A12" s="2"/>
      <c r="B12" s="29"/>
      <c r="C12" s="29"/>
      <c r="D12" s="10"/>
      <c r="E12" s="11"/>
      <c r="F12" s="5"/>
      <c r="G12" s="12"/>
      <c r="H12" s="12"/>
      <c r="I12" s="12"/>
      <c r="J12" s="13"/>
    </row>
    <row r="13" spans="1:10" ht="15.95" customHeight="1" x14ac:dyDescent="0.2">
      <c r="A13" s="2"/>
      <c r="B13" s="18" t="s">
        <v>43</v>
      </c>
      <c r="C13" s="19" t="s">
        <v>0</v>
      </c>
      <c r="D13" s="19" t="s">
        <v>1</v>
      </c>
      <c r="E13" s="20" t="s">
        <v>2</v>
      </c>
      <c r="F13" s="16"/>
      <c r="G13" s="18" t="s">
        <v>44</v>
      </c>
      <c r="H13" s="19" t="s">
        <v>0</v>
      </c>
      <c r="I13" s="19" t="s">
        <v>1</v>
      </c>
      <c r="J13" s="20" t="s">
        <v>2</v>
      </c>
    </row>
    <row r="14" spans="1:10" ht="15.75" customHeight="1" x14ac:dyDescent="0.2">
      <c r="A14" s="2"/>
      <c r="B14" s="25" t="s">
        <v>62</v>
      </c>
      <c r="C14" s="21"/>
      <c r="D14" s="21"/>
      <c r="E14" s="22">
        <f>Table1134145156167178[[#This Row],[Projected Cost]]-Table1134145156167178[[#This Row],[Actual Cost]]</f>
        <v>0</v>
      </c>
      <c r="F14" s="26"/>
      <c r="G14" s="25" t="s">
        <v>66</v>
      </c>
      <c r="H14" s="21"/>
      <c r="I14" s="21"/>
      <c r="J14" s="22">
        <f>Table2144155166177188[[#This Row],[Projected Cost]]-Table2144155166177188[[#This Row],[Actual Cost]]</f>
        <v>0</v>
      </c>
    </row>
    <row r="15" spans="1:10" ht="15.75" customHeight="1" x14ac:dyDescent="0.2">
      <c r="A15" s="2"/>
      <c r="B15" s="25" t="s">
        <v>3</v>
      </c>
      <c r="C15" s="21"/>
      <c r="D15" s="21"/>
      <c r="E15" s="22">
        <f>Table1134145156167178[[#This Row],[Projected Cost]]-Table1134145156167178[[#This Row],[Actual Cost]]</f>
        <v>0</v>
      </c>
      <c r="F15" s="26"/>
      <c r="G15" s="25" t="s">
        <v>61</v>
      </c>
      <c r="H15" s="21"/>
      <c r="I15" s="21"/>
      <c r="J15" s="22">
        <f>Table2144155166177188[[#This Row],[Projected Cost]]-Table2144155166177188[[#This Row],[Actual Cost]]</f>
        <v>0</v>
      </c>
    </row>
    <row r="16" spans="1:10" ht="15.75" customHeight="1" x14ac:dyDescent="0.2">
      <c r="A16" s="2"/>
      <c r="B16" s="25" t="s">
        <v>37</v>
      </c>
      <c r="C16" s="21"/>
      <c r="D16" s="21"/>
      <c r="E16" s="22">
        <f>Table1134145156167178[[#This Row],[Projected Cost]]-Table1134145156167178[[#This Row],[Actual Cost]]</f>
        <v>0</v>
      </c>
      <c r="F16" s="26"/>
      <c r="G16" s="25" t="s">
        <v>25</v>
      </c>
      <c r="H16" s="21"/>
      <c r="I16" s="21"/>
      <c r="J16" s="22">
        <f>Table2144155166177188[[#This Row],[Projected Cost]]-Table2144155166177188[[#This Row],[Actual Cost]]</f>
        <v>0</v>
      </c>
    </row>
    <row r="17" spans="1:10" ht="15.75" customHeight="1" x14ac:dyDescent="0.2">
      <c r="A17" s="2"/>
      <c r="B17" s="25" t="s">
        <v>4</v>
      </c>
      <c r="C17" s="21"/>
      <c r="D17" s="21"/>
      <c r="E17" s="22">
        <f>Table1134145156167178[[#This Row],[Projected Cost]]-Table1134145156167178[[#This Row],[Actual Cost]]</f>
        <v>0</v>
      </c>
      <c r="F17" s="26"/>
      <c r="G17" s="25" t="s">
        <v>26</v>
      </c>
      <c r="H17" s="21"/>
      <c r="I17" s="21"/>
      <c r="J17" s="22">
        <f>Table2144155166177188[[#This Row],[Projected Cost]]-Table2144155166177188[[#This Row],[Actual Cost]]</f>
        <v>0</v>
      </c>
    </row>
    <row r="18" spans="1:10" ht="15.75" customHeight="1" x14ac:dyDescent="0.2">
      <c r="A18" s="2"/>
      <c r="B18" s="25" t="s">
        <v>5</v>
      </c>
      <c r="C18" s="21"/>
      <c r="D18" s="21"/>
      <c r="E18" s="22">
        <f>Table1134145156167178[[#This Row],[Projected Cost]]-Table1134145156167178[[#This Row],[Actual Cost]]</f>
        <v>0</v>
      </c>
      <c r="F18" s="26"/>
      <c r="G18" s="25" t="s">
        <v>39</v>
      </c>
      <c r="H18" s="21"/>
      <c r="I18" s="21"/>
      <c r="J18" s="22">
        <f>Table2144155166177188[[#This Row],[Projected Cost]]-Table2144155166177188[[#This Row],[Actual Cost]]</f>
        <v>0</v>
      </c>
    </row>
    <row r="19" spans="1:10" ht="15.75" customHeight="1" x14ac:dyDescent="0.2">
      <c r="A19" s="2"/>
      <c r="B19" s="25" t="s">
        <v>6</v>
      </c>
      <c r="C19" s="21"/>
      <c r="D19" s="21"/>
      <c r="E19" s="22">
        <f>Table1134145156167178[[#This Row],[Projected Cost]]-Table1134145156167178[[#This Row],[Actual Cost]]</f>
        <v>0</v>
      </c>
      <c r="F19" s="26"/>
      <c r="G19" s="25" t="s">
        <v>27</v>
      </c>
      <c r="H19" s="21"/>
      <c r="I19" s="21"/>
      <c r="J19" s="22">
        <f>Table2144155166177188[[#This Row],[Projected Cost]]-Table2144155166177188[[#This Row],[Actual Cost]]</f>
        <v>0</v>
      </c>
    </row>
    <row r="20" spans="1:10" ht="15.75" customHeight="1" x14ac:dyDescent="0.2">
      <c r="A20" s="2"/>
      <c r="B20" s="25" t="s">
        <v>7</v>
      </c>
      <c r="C20" s="21"/>
      <c r="D20" s="21"/>
      <c r="E20" s="22">
        <f>Table1134145156167178[[#This Row],[Projected Cost]]-Table1134145156167178[[#This Row],[Actual Cost]]</f>
        <v>0</v>
      </c>
      <c r="F20" s="26"/>
      <c r="G20" s="25" t="s">
        <v>10</v>
      </c>
      <c r="H20" s="21"/>
      <c r="I20" s="21"/>
      <c r="J20" s="22">
        <f>Table2144155166177188[[#This Row],[Projected Cost]]-Table2144155166177188[[#This Row],[Actual Cost]]</f>
        <v>0</v>
      </c>
    </row>
    <row r="21" spans="1:10" ht="15.75" customHeight="1" x14ac:dyDescent="0.2">
      <c r="A21" s="2"/>
      <c r="B21" s="25" t="s">
        <v>8</v>
      </c>
      <c r="C21" s="21"/>
      <c r="D21" s="21"/>
      <c r="E21" s="22">
        <f>Table1134145156167178[[#This Row],[Projected Cost]]-Table1134145156167178[[#This Row],[Actual Cost]]</f>
        <v>0</v>
      </c>
      <c r="F21" s="26"/>
      <c r="G21" s="25" t="s">
        <v>10</v>
      </c>
      <c r="H21" s="21"/>
      <c r="I21" s="21"/>
      <c r="J21" s="22">
        <f>Table2144155166177188[[#This Row],[Projected Cost]]-Table2144155166177188[[#This Row],[Actual Cost]]</f>
        <v>0</v>
      </c>
    </row>
    <row r="22" spans="1:10" ht="15.75" customHeight="1" x14ac:dyDescent="0.2">
      <c r="A22" s="2"/>
      <c r="B22" s="25" t="s">
        <v>9</v>
      </c>
      <c r="C22" s="21"/>
      <c r="D22" s="21"/>
      <c r="E22" s="22">
        <f>Table1134145156167178[[#This Row],[Projected Cost]]-Table1134145156167178[[#This Row],[Actual Cost]]</f>
        <v>0</v>
      </c>
      <c r="F22" s="26"/>
      <c r="G22" s="25" t="s">
        <v>10</v>
      </c>
      <c r="H22" s="21"/>
      <c r="I22" s="21"/>
      <c r="J22" s="22">
        <f>Table2144155166177188[[#This Row],[Projected Cost]]-Table2144155166177188[[#This Row],[Actual Cost]]</f>
        <v>0</v>
      </c>
    </row>
    <row r="23" spans="1:10" ht="15.75" customHeight="1" x14ac:dyDescent="0.2">
      <c r="A23" s="2"/>
      <c r="B23" s="25" t="s">
        <v>10</v>
      </c>
      <c r="C23" s="21"/>
      <c r="D23" s="21"/>
      <c r="E23" s="22">
        <f>Table1134145156167178[[#This Row],[Projected Cost]]-Table1134145156167178[[#This Row],[Actual Cost]]</f>
        <v>0</v>
      </c>
      <c r="F23" s="26"/>
      <c r="G23" s="18" t="s">
        <v>57</v>
      </c>
      <c r="H23" s="23">
        <f>SUBTOTAL(109,Table2144155166177188[Projected Cost])</f>
        <v>0</v>
      </c>
      <c r="I23" s="21">
        <f>SUBTOTAL(109,Table2144155166177188[Actual Cost])</f>
        <v>0</v>
      </c>
      <c r="J23" s="24">
        <f>SUBTOTAL(109,Table2144155166177188[Difference])</f>
        <v>0</v>
      </c>
    </row>
    <row r="24" spans="1:10" ht="15.75" customHeight="1" x14ac:dyDescent="0.2">
      <c r="A24" s="2"/>
      <c r="B24" s="18" t="s">
        <v>57</v>
      </c>
      <c r="C24" s="21">
        <f>SUBTOTAL(109,Table1134145156167178[Projected Cost])</f>
        <v>0</v>
      </c>
      <c r="D24" s="21">
        <f>SUBTOTAL(109,Table1134145156167178[Actual Cost])</f>
        <v>0</v>
      </c>
      <c r="E24" s="24">
        <f>SUBTOTAL(109,Table1134145156167178[Difference])</f>
        <v>0</v>
      </c>
      <c r="F24" s="26"/>
      <c r="G24" s="32"/>
      <c r="H24" s="32"/>
      <c r="I24" s="32"/>
      <c r="J24" s="32"/>
    </row>
    <row r="25" spans="1:10" ht="15.75" customHeight="1" x14ac:dyDescent="0.2">
      <c r="A25" s="2"/>
      <c r="B25" s="31"/>
      <c r="C25" s="31"/>
      <c r="D25" s="31"/>
      <c r="E25" s="31"/>
      <c r="F25" s="26"/>
      <c r="G25" s="18" t="s">
        <v>67</v>
      </c>
      <c r="H25" s="19" t="s">
        <v>0</v>
      </c>
      <c r="I25" s="19" t="s">
        <v>1</v>
      </c>
      <c r="J25" s="20" t="s">
        <v>2</v>
      </c>
    </row>
    <row r="26" spans="1:10" ht="15.75" customHeight="1" x14ac:dyDescent="0.2">
      <c r="A26" s="2"/>
      <c r="B26" s="18" t="s">
        <v>45</v>
      </c>
      <c r="C26" s="19" t="s">
        <v>0</v>
      </c>
      <c r="D26" s="19" t="s">
        <v>1</v>
      </c>
      <c r="E26" s="20" t="s">
        <v>2</v>
      </c>
      <c r="F26" s="26"/>
      <c r="G26" s="25" t="s">
        <v>29</v>
      </c>
      <c r="H26" s="21"/>
      <c r="I26" s="21"/>
      <c r="J26" s="22">
        <f>Table8141152163174185[[#This Row],[Projected Cost]]-Table8141152163174185[[#This Row],[Actual Cost]]</f>
        <v>0</v>
      </c>
    </row>
    <row r="27" spans="1:10" ht="15.75" customHeight="1" x14ac:dyDescent="0.2">
      <c r="A27" s="2"/>
      <c r="B27" s="25" t="s">
        <v>38</v>
      </c>
      <c r="C27" s="21"/>
      <c r="D27" s="21"/>
      <c r="E27" s="22">
        <f>Table3140151162173184[[#This Row],[Projected Cost]]-Table3140151162173184[[#This Row],[Actual Cost]]</f>
        <v>0</v>
      </c>
      <c r="F27" s="26"/>
      <c r="G27" s="25" t="s">
        <v>33</v>
      </c>
      <c r="H27" s="21"/>
      <c r="I27" s="21"/>
      <c r="J27" s="22">
        <f>Table8141152163174185[[#This Row],[Projected Cost]]-Table8141152163174185[[#This Row],[Actual Cost]]</f>
        <v>0</v>
      </c>
    </row>
    <row r="28" spans="1:10" ht="15.75" customHeight="1" x14ac:dyDescent="0.2">
      <c r="A28" s="2"/>
      <c r="B28" s="25" t="s">
        <v>63</v>
      </c>
      <c r="C28" s="21"/>
      <c r="D28" s="21"/>
      <c r="E28" s="22">
        <f>Table3140151162173184[[#This Row],[Projected Cost]]-Table3140151162173184[[#This Row],[Actual Cost]]</f>
        <v>0</v>
      </c>
      <c r="F28" s="26"/>
      <c r="G28" s="25" t="s">
        <v>40</v>
      </c>
      <c r="H28" s="21"/>
      <c r="I28" s="21"/>
      <c r="J28" s="22">
        <f>Table8141152163174185[[#This Row],[Projected Cost]]-Table8141152163174185[[#This Row],[Actual Cost]]</f>
        <v>0</v>
      </c>
    </row>
    <row r="29" spans="1:10" ht="15.75" customHeight="1" x14ac:dyDescent="0.2">
      <c r="A29" s="2"/>
      <c r="B29" s="25" t="s">
        <v>11</v>
      </c>
      <c r="C29" s="21"/>
      <c r="D29" s="21"/>
      <c r="E29" s="22">
        <f>Table3140151162173184[[#This Row],[Projected Cost]]-Table3140151162173184[[#This Row],[Actual Cost]]</f>
        <v>0</v>
      </c>
      <c r="F29" s="26"/>
      <c r="G29" s="25" t="s">
        <v>40</v>
      </c>
      <c r="H29" s="21"/>
      <c r="I29" s="21"/>
      <c r="J29" s="22">
        <f>Table8141152163174185[[#This Row],[Projected Cost]]-Table8141152163174185[[#This Row],[Actual Cost]]</f>
        <v>0</v>
      </c>
    </row>
    <row r="30" spans="1:10" ht="15.75" customHeight="1" x14ac:dyDescent="0.2">
      <c r="A30" s="2"/>
      <c r="B30" s="25" t="s">
        <v>12</v>
      </c>
      <c r="C30" s="21"/>
      <c r="D30" s="21"/>
      <c r="E30" s="22">
        <f>Table3140151162173184[[#This Row],[Projected Cost]]-Table3140151162173184[[#This Row],[Actual Cost]]</f>
        <v>0</v>
      </c>
      <c r="F30" s="26"/>
      <c r="G30" s="25" t="s">
        <v>40</v>
      </c>
      <c r="H30" s="21"/>
      <c r="I30" s="21"/>
      <c r="J30" s="22">
        <f>Table8141152163174185[[#This Row],[Projected Cost]]-Table8141152163174185[[#This Row],[Actual Cost]]</f>
        <v>0</v>
      </c>
    </row>
    <row r="31" spans="1:10" ht="15.75" customHeight="1" x14ac:dyDescent="0.2">
      <c r="A31" s="2"/>
      <c r="B31" s="25" t="s">
        <v>13</v>
      </c>
      <c r="C31" s="21"/>
      <c r="D31" s="21"/>
      <c r="E31" s="22">
        <f>Table3140151162173184[[#This Row],[Projected Cost]]-Table3140151162173184[[#This Row],[Actual Cost]]</f>
        <v>0</v>
      </c>
      <c r="F31" s="26"/>
      <c r="G31" s="25" t="s">
        <v>10</v>
      </c>
      <c r="H31" s="21"/>
      <c r="I31" s="21"/>
      <c r="J31" s="22">
        <f>Table8141152163174185[[#This Row],[Projected Cost]]-Table8141152163174185[[#This Row],[Actual Cost]]</f>
        <v>0</v>
      </c>
    </row>
    <row r="32" spans="1:10" ht="15.75" customHeight="1" x14ac:dyDescent="0.2">
      <c r="A32" s="2"/>
      <c r="B32" s="25" t="s">
        <v>14</v>
      </c>
      <c r="C32" s="21"/>
      <c r="D32" s="21"/>
      <c r="E32" s="22">
        <f>Table3140151162173184[[#This Row],[Projected Cost]]-Table3140151162173184[[#This Row],[Actual Cost]]</f>
        <v>0</v>
      </c>
      <c r="F32" s="26"/>
      <c r="G32" s="18" t="s">
        <v>57</v>
      </c>
      <c r="H32" s="21">
        <f>SUBTOTAL(109,Table8141152163174185[Projected Cost])</f>
        <v>0</v>
      </c>
      <c r="I32" s="21">
        <f>SUBTOTAL(109,Table8141152163174185[Actual Cost])</f>
        <v>0</v>
      </c>
      <c r="J32" s="24">
        <f>SUBTOTAL(109,Table8141152163174185[Difference])</f>
        <v>0</v>
      </c>
    </row>
    <row r="33" spans="1:10" ht="15.75" customHeight="1" x14ac:dyDescent="0.2">
      <c r="A33" s="2"/>
      <c r="B33" s="25" t="s">
        <v>10</v>
      </c>
      <c r="C33" s="21"/>
      <c r="D33" s="21"/>
      <c r="E33" s="22">
        <f>Table3140151162173184[[#This Row],[Projected Cost]]-Table3140151162173184[[#This Row],[Actual Cost]]</f>
        <v>0</v>
      </c>
      <c r="F33" s="26"/>
      <c r="G33" s="31"/>
      <c r="H33" s="31"/>
      <c r="I33" s="31"/>
      <c r="J33" s="31"/>
    </row>
    <row r="34" spans="1:10" ht="15.75" customHeight="1" x14ac:dyDescent="0.2">
      <c r="A34" s="2"/>
      <c r="B34" s="18" t="s">
        <v>57</v>
      </c>
      <c r="C34" s="21">
        <f>SUBTOTAL(109,Table3140151162173184[Projected Cost])</f>
        <v>0</v>
      </c>
      <c r="D34" s="21">
        <f>SUBTOTAL(109,Table3140151162173184[Actual Cost])</f>
        <v>0</v>
      </c>
      <c r="E34" s="24">
        <f>SUBTOTAL(109,Table3140151162173184[Difference])</f>
        <v>0</v>
      </c>
      <c r="F34" s="26"/>
      <c r="G34" s="18" t="s">
        <v>10</v>
      </c>
      <c r="H34" s="19" t="s">
        <v>0</v>
      </c>
      <c r="I34" s="19" t="s">
        <v>1</v>
      </c>
      <c r="J34" s="20" t="s">
        <v>2</v>
      </c>
    </row>
    <row r="35" spans="1:10" ht="15.75" customHeight="1" x14ac:dyDescent="0.2">
      <c r="A35" s="2"/>
      <c r="B35" s="31"/>
      <c r="C35" s="31"/>
      <c r="D35" s="31"/>
      <c r="E35" s="31"/>
      <c r="F35" s="26"/>
      <c r="G35" s="25" t="s">
        <v>10</v>
      </c>
      <c r="H35" s="21"/>
      <c r="I35" s="21"/>
      <c r="J35" s="22">
        <f>Table9139150161172183[[#This Row],[Projected Cost]]-Table9139150161172183[[#This Row],[Actual Cost]]</f>
        <v>0</v>
      </c>
    </row>
    <row r="36" spans="1:10" ht="15.75" customHeight="1" x14ac:dyDescent="0.2">
      <c r="A36" s="2"/>
      <c r="B36" s="18" t="s">
        <v>46</v>
      </c>
      <c r="C36" s="19" t="s">
        <v>0</v>
      </c>
      <c r="D36" s="19" t="s">
        <v>1</v>
      </c>
      <c r="E36" s="20" t="s">
        <v>2</v>
      </c>
      <c r="F36" s="26"/>
      <c r="G36" s="25" t="s">
        <v>10</v>
      </c>
      <c r="H36" s="21"/>
      <c r="I36" s="21"/>
      <c r="J36" s="22">
        <f>Table9139150161172183[[#This Row],[Projected Cost]]-Table9139150161172183[[#This Row],[Actual Cost]]</f>
        <v>0</v>
      </c>
    </row>
    <row r="37" spans="1:10" ht="15.75" customHeight="1" x14ac:dyDescent="0.2">
      <c r="A37" s="2"/>
      <c r="B37" s="25" t="s">
        <v>64</v>
      </c>
      <c r="C37" s="21"/>
      <c r="D37" s="21"/>
      <c r="E37" s="22">
        <f>Table4135146157168179[[#This Row],[Projected Cost]]-Table4135146157168179[[#This Row],[Actual Cost]]</f>
        <v>0</v>
      </c>
      <c r="F37" s="26"/>
      <c r="G37" s="25" t="s">
        <v>10</v>
      </c>
      <c r="H37" s="21"/>
      <c r="I37" s="21"/>
      <c r="J37" s="22">
        <f>Table9139150161172183[[#This Row],[Projected Cost]]-Table9139150161172183[[#This Row],[Actual Cost]]</f>
        <v>0</v>
      </c>
    </row>
    <row r="38" spans="1:10" ht="15.75" customHeight="1" x14ac:dyDescent="0.2">
      <c r="A38" s="2"/>
      <c r="B38" s="25" t="s">
        <v>15</v>
      </c>
      <c r="C38" s="21"/>
      <c r="D38" s="21"/>
      <c r="E38" s="22">
        <f>Table4135146157168179[[#This Row],[Projected Cost]]-Table4135146157168179[[#This Row],[Actual Cost]]</f>
        <v>0</v>
      </c>
      <c r="F38" s="26"/>
      <c r="G38" s="25" t="s">
        <v>10</v>
      </c>
      <c r="H38" s="21"/>
      <c r="I38" s="21"/>
      <c r="J38" s="22">
        <f>Table9139150161172183[[#This Row],[Projected Cost]]-Table9139150161172183[[#This Row],[Actual Cost]]</f>
        <v>0</v>
      </c>
    </row>
    <row r="39" spans="1:10" ht="15.75" customHeight="1" x14ac:dyDescent="0.2">
      <c r="A39" s="2"/>
      <c r="B39" s="25" t="s">
        <v>16</v>
      </c>
      <c r="C39" s="21"/>
      <c r="D39" s="21"/>
      <c r="E39" s="22">
        <f>Table4135146157168179[[#This Row],[Projected Cost]]-Table4135146157168179[[#This Row],[Actual Cost]]</f>
        <v>0</v>
      </c>
      <c r="F39" s="26"/>
      <c r="G39" s="18" t="s">
        <v>57</v>
      </c>
      <c r="H39" s="21">
        <f>SUBTOTAL(109,Table9139150161172183[Projected Cost])</f>
        <v>0</v>
      </c>
      <c r="I39" s="21">
        <f>SUBTOTAL(109,Table9139150161172183[Actual Cost])</f>
        <v>0</v>
      </c>
      <c r="J39" s="24">
        <f>SUBTOTAL(109,Table9139150161172183[Difference])</f>
        <v>0</v>
      </c>
    </row>
    <row r="40" spans="1:10" ht="15.75" customHeight="1" x14ac:dyDescent="0.2">
      <c r="A40" s="2"/>
      <c r="B40" s="25" t="s">
        <v>10</v>
      </c>
      <c r="C40" s="21"/>
      <c r="D40" s="21"/>
      <c r="E40" s="22">
        <f>Table4135146157168179[[#This Row],[Projected Cost]]-Table4135146157168179[[#This Row],[Actual Cost]]</f>
        <v>0</v>
      </c>
      <c r="F40" s="26"/>
      <c r="G40" s="31"/>
      <c r="H40" s="31"/>
      <c r="I40" s="31"/>
      <c r="J40" s="31"/>
    </row>
    <row r="41" spans="1:10" ht="15.75" customHeight="1" x14ac:dyDescent="0.2">
      <c r="A41" s="2"/>
      <c r="B41" s="18" t="s">
        <v>57</v>
      </c>
      <c r="C41" s="21">
        <f>SUBTOTAL(109,Table4135146157168179[Projected Cost])</f>
        <v>0</v>
      </c>
      <c r="D41" s="21">
        <f>SUBTOTAL(109,Table4135146157168179[Actual Cost])</f>
        <v>0</v>
      </c>
      <c r="E41" s="24">
        <f>SUBTOTAL(109,Table4135146157168179[Difference])</f>
        <v>0</v>
      </c>
      <c r="F41" s="26"/>
      <c r="G41" s="18" t="s">
        <v>48</v>
      </c>
      <c r="H41" s="19" t="s">
        <v>0</v>
      </c>
      <c r="I41" s="19" t="s">
        <v>1</v>
      </c>
      <c r="J41" s="20" t="s">
        <v>2</v>
      </c>
    </row>
    <row r="42" spans="1:10" ht="15.75" customHeight="1" x14ac:dyDescent="0.2">
      <c r="A42" s="2"/>
      <c r="B42" s="31"/>
      <c r="C42" s="31"/>
      <c r="D42" s="31"/>
      <c r="E42" s="31"/>
      <c r="F42" s="26"/>
      <c r="G42" s="25" t="s">
        <v>41</v>
      </c>
      <c r="H42" s="21"/>
      <c r="I42" s="21"/>
      <c r="J42" s="22">
        <f>Table10142153164175186[[#This Row],[Projected Cost]]-Table10142153164175186[[#This Row],[Actual Cost]]</f>
        <v>0</v>
      </c>
    </row>
    <row r="43" spans="1:10" ht="15.75" customHeight="1" x14ac:dyDescent="0.2">
      <c r="A43" s="2"/>
      <c r="B43" s="18" t="s">
        <v>47</v>
      </c>
      <c r="C43" s="19" t="s">
        <v>0</v>
      </c>
      <c r="D43" s="19" t="s">
        <v>1</v>
      </c>
      <c r="E43" s="20" t="s">
        <v>2</v>
      </c>
      <c r="F43" s="26"/>
      <c r="G43" s="25" t="s">
        <v>42</v>
      </c>
      <c r="H43" s="21"/>
      <c r="I43" s="21"/>
      <c r="J43" s="22">
        <f>Table10142153164175186[[#This Row],[Projected Cost]]-Table10142153164175186[[#This Row],[Actual Cost]]</f>
        <v>0</v>
      </c>
    </row>
    <row r="44" spans="1:10" ht="15.75" customHeight="1" x14ac:dyDescent="0.2">
      <c r="A44" s="2"/>
      <c r="B44" s="25" t="s">
        <v>17</v>
      </c>
      <c r="C44" s="21"/>
      <c r="D44" s="21"/>
      <c r="E44" s="22">
        <f>Table5138149160171182[[#This Row],[Projected Cost]]-Table5138149160171182[[#This Row],[Actual Cost]]</f>
        <v>0</v>
      </c>
      <c r="F44" s="26"/>
      <c r="G44" s="25" t="s">
        <v>10</v>
      </c>
      <c r="H44" s="21"/>
      <c r="I44" s="21"/>
      <c r="J44" s="22">
        <f>Table10142153164175186[[#This Row],[Projected Cost]]-Table10142153164175186[[#This Row],[Actual Cost]]</f>
        <v>0</v>
      </c>
    </row>
    <row r="45" spans="1:10" ht="15.75" customHeight="1" x14ac:dyDescent="0.2">
      <c r="A45" s="2"/>
      <c r="B45" s="25" t="s">
        <v>24</v>
      </c>
      <c r="C45" s="21"/>
      <c r="D45" s="21"/>
      <c r="E45" s="22">
        <f>Table5138149160171182[[#This Row],[Projected Cost]]-Table5138149160171182[[#This Row],[Actual Cost]]</f>
        <v>0</v>
      </c>
      <c r="F45" s="26"/>
      <c r="G45" s="18" t="s">
        <v>57</v>
      </c>
      <c r="H45" s="21">
        <f>SUBTOTAL(109,Table10142153164175186[Projected Cost])</f>
        <v>0</v>
      </c>
      <c r="I45" s="21">
        <f>SUBTOTAL(109,Table10142153164175186[Actual Cost])</f>
        <v>0</v>
      </c>
      <c r="J45" s="24">
        <f>SUBTOTAL(109,Table10142153164175186[Difference])</f>
        <v>0</v>
      </c>
    </row>
    <row r="46" spans="1:10" ht="15.75" customHeight="1" x14ac:dyDescent="0.2">
      <c r="A46" s="2"/>
      <c r="B46" s="25" t="s">
        <v>10</v>
      </c>
      <c r="C46" s="21"/>
      <c r="D46" s="21"/>
      <c r="E46" s="22">
        <f>Table5138149160171182[[#This Row],[Projected Cost]]-Table5138149160171182[[#This Row],[Actual Cost]]</f>
        <v>0</v>
      </c>
      <c r="F46" s="26"/>
      <c r="G46" s="31"/>
      <c r="H46" s="31"/>
      <c r="I46" s="31"/>
      <c r="J46" s="31"/>
    </row>
    <row r="47" spans="1:10" ht="15.75" customHeight="1" x14ac:dyDescent="0.2">
      <c r="A47" s="2"/>
      <c r="B47" s="18" t="s">
        <v>57</v>
      </c>
      <c r="C47" s="21">
        <f>SUBTOTAL(109,Table5138149160171182[Projected Cost])</f>
        <v>0</v>
      </c>
      <c r="D47" s="21">
        <f>SUBTOTAL(109,Table5138149160171182[Actual Cost])</f>
        <v>0</v>
      </c>
      <c r="E47" s="24">
        <f>SUBTOTAL(109,Table5138149160171182[Difference])</f>
        <v>0</v>
      </c>
      <c r="F47" s="26"/>
      <c r="G47" s="18" t="s">
        <v>49</v>
      </c>
      <c r="H47" s="19" t="s">
        <v>0</v>
      </c>
      <c r="I47" s="19" t="s">
        <v>1</v>
      </c>
      <c r="J47" s="20" t="s">
        <v>2</v>
      </c>
    </row>
    <row r="48" spans="1:10" ht="15.75" customHeight="1" x14ac:dyDescent="0.2">
      <c r="A48" s="2"/>
      <c r="B48" s="31"/>
      <c r="C48" s="31"/>
      <c r="D48" s="31"/>
      <c r="E48" s="31"/>
      <c r="F48" s="26"/>
      <c r="G48" s="25" t="s">
        <v>30</v>
      </c>
      <c r="H48" s="21"/>
      <c r="I48" s="21"/>
      <c r="J48" s="22">
        <f>Table11137148159170181[[#This Row],[Projected Cost]]-Table11137148159170181[[#This Row],[Actual Cost]]</f>
        <v>0</v>
      </c>
    </row>
    <row r="49" spans="1:10" ht="15.75" customHeight="1" x14ac:dyDescent="0.2">
      <c r="A49" s="2"/>
      <c r="B49" s="18" t="s">
        <v>50</v>
      </c>
      <c r="C49" s="19" t="s">
        <v>0</v>
      </c>
      <c r="D49" s="19" t="s">
        <v>1</v>
      </c>
      <c r="E49" s="20" t="s">
        <v>2</v>
      </c>
      <c r="F49" s="26"/>
      <c r="G49" s="25" t="s">
        <v>31</v>
      </c>
      <c r="H49" s="21"/>
      <c r="I49" s="21"/>
      <c r="J49" s="22">
        <f>Table11137148159170181[[#This Row],[Projected Cost]]-Table11137148159170181[[#This Row],[Actual Cost]]</f>
        <v>0</v>
      </c>
    </row>
    <row r="50" spans="1:10" ht="15.75" customHeight="1" x14ac:dyDescent="0.2">
      <c r="A50" s="2"/>
      <c r="B50" s="25" t="s">
        <v>18</v>
      </c>
      <c r="C50" s="21"/>
      <c r="D50" s="21"/>
      <c r="E50" s="22">
        <f>Table6136147158169180[[#This Row],[Projected Cost]]-Table6136147158169180[[#This Row],[Actual Cost]]</f>
        <v>0</v>
      </c>
      <c r="F50" s="26"/>
      <c r="G50" s="25" t="s">
        <v>36</v>
      </c>
      <c r="H50" s="21"/>
      <c r="I50" s="21"/>
      <c r="J50" s="22">
        <f>Table11137148159170181[[#This Row],[Projected Cost]]-Table11137148159170181[[#This Row],[Actual Cost]]</f>
        <v>0</v>
      </c>
    </row>
    <row r="51" spans="1:10" ht="15.75" customHeight="1" x14ac:dyDescent="0.2">
      <c r="A51" s="2"/>
      <c r="B51" s="25" t="s">
        <v>20</v>
      </c>
      <c r="C51" s="21"/>
      <c r="D51" s="21"/>
      <c r="E51" s="22">
        <f>Table6136147158169180[[#This Row],[Projected Cost]]-Table6136147158169180[[#This Row],[Actual Cost]]</f>
        <v>0</v>
      </c>
      <c r="F51" s="26"/>
      <c r="G51" s="18" t="s">
        <v>57</v>
      </c>
      <c r="H51" s="21">
        <f>SUBTOTAL(109,Table11137148159170181[Projected Cost])</f>
        <v>0</v>
      </c>
      <c r="I51" s="21">
        <f>SUBTOTAL(109,Table11137148159170181[Actual Cost])</f>
        <v>0</v>
      </c>
      <c r="J51" s="24">
        <f>SUBTOTAL(109,Table11137148159170181[Difference])</f>
        <v>0</v>
      </c>
    </row>
    <row r="52" spans="1:10" ht="15.75" customHeight="1" x14ac:dyDescent="0.2">
      <c r="A52" s="2"/>
      <c r="B52" s="25" t="s">
        <v>21</v>
      </c>
      <c r="C52" s="21"/>
      <c r="D52" s="21"/>
      <c r="E52" s="22">
        <f>Table6136147158169180[[#This Row],[Projected Cost]]-Table6136147158169180[[#This Row],[Actual Cost]]</f>
        <v>0</v>
      </c>
      <c r="F52" s="26"/>
      <c r="G52" s="31"/>
      <c r="H52" s="31"/>
      <c r="I52" s="31"/>
      <c r="J52" s="31"/>
    </row>
    <row r="53" spans="1:10" ht="15.75" customHeight="1" x14ac:dyDescent="0.2">
      <c r="A53" s="2"/>
      <c r="B53" s="25" t="s">
        <v>19</v>
      </c>
      <c r="C53" s="21"/>
      <c r="D53" s="21"/>
      <c r="E53" s="22">
        <f>Table6136147158169180[[#This Row],[Projected Cost]]-Table6136147158169180[[#This Row],[Actual Cost]]</f>
        <v>0</v>
      </c>
      <c r="F53" s="26"/>
      <c r="G53" s="34" t="s">
        <v>54</v>
      </c>
      <c r="H53" s="34"/>
      <c r="I53" s="34"/>
      <c r="J53" s="35">
        <f>SUM(C24,C34,C41,C47,C55,C65,H23,H32,H39,H45,H51)</f>
        <v>0</v>
      </c>
    </row>
    <row r="54" spans="1:10" ht="15.75" customHeight="1" x14ac:dyDescent="0.2">
      <c r="A54" s="2"/>
      <c r="B54" s="25" t="s">
        <v>10</v>
      </c>
      <c r="C54" s="21"/>
      <c r="D54" s="21"/>
      <c r="E54" s="22">
        <f>Table6136147158169180[[#This Row],[Projected Cost]]-Table6136147158169180[[#This Row],[Actual Cost]]</f>
        <v>0</v>
      </c>
      <c r="F54" s="26"/>
      <c r="G54" s="34"/>
      <c r="H54" s="34"/>
      <c r="I54" s="34"/>
      <c r="J54" s="35"/>
    </row>
    <row r="55" spans="1:10" ht="15.75" customHeight="1" x14ac:dyDescent="0.2">
      <c r="A55" s="2"/>
      <c r="B55" s="18" t="s">
        <v>57</v>
      </c>
      <c r="C55" s="21">
        <f>SUBTOTAL(109,Table6136147158169180[Projected Cost])</f>
        <v>0</v>
      </c>
      <c r="D55" s="21">
        <f>SUBTOTAL(109,Table6136147158169180[Actual Cost])</f>
        <v>0</v>
      </c>
      <c r="E55" s="24">
        <f>SUBTOTAL(109,Table6136147158169180[Difference])</f>
        <v>0</v>
      </c>
      <c r="F55" s="26"/>
      <c r="G55" s="34" t="s">
        <v>55</v>
      </c>
      <c r="H55" s="34"/>
      <c r="I55" s="34"/>
      <c r="J55" s="35">
        <f>SUM(D24,D34,D41,D47,D55,D65,I23,I32,I39,I45,I51)</f>
        <v>0</v>
      </c>
    </row>
    <row r="56" spans="1:10" ht="15.75" customHeight="1" x14ac:dyDescent="0.2">
      <c r="A56" s="2"/>
      <c r="B56" s="31"/>
      <c r="C56" s="31"/>
      <c r="D56" s="31"/>
      <c r="E56" s="31"/>
      <c r="F56" s="26"/>
      <c r="G56" s="34"/>
      <c r="H56" s="34"/>
      <c r="I56" s="34"/>
      <c r="J56" s="35"/>
    </row>
    <row r="57" spans="1:10" ht="15.75" customHeight="1" x14ac:dyDescent="0.2">
      <c r="A57" s="2"/>
      <c r="B57" s="18" t="s">
        <v>51</v>
      </c>
      <c r="C57" s="19" t="s">
        <v>0</v>
      </c>
      <c r="D57" s="19" t="s">
        <v>1</v>
      </c>
      <c r="E57" s="20" t="s">
        <v>2</v>
      </c>
      <c r="F57" s="26"/>
      <c r="G57" s="34" t="s">
        <v>56</v>
      </c>
      <c r="H57" s="34"/>
      <c r="I57" s="34"/>
      <c r="J57" s="35">
        <f>SUM(E24,E34,E41,E47,E55,E65,J23,J32,J39,J45,J51)</f>
        <v>0</v>
      </c>
    </row>
    <row r="58" spans="1:10" ht="15.75" customHeight="1" x14ac:dyDescent="0.2">
      <c r="A58" s="2"/>
      <c r="B58" s="25" t="s">
        <v>20</v>
      </c>
      <c r="C58" s="21"/>
      <c r="D58" s="21"/>
      <c r="E58" s="22">
        <f>Table7143154165176187[[#This Row],[Projected Cost]]-Table7143154165176187[[#This Row],[Actual Cost]]</f>
        <v>0</v>
      </c>
      <c r="F58" s="26"/>
      <c r="G58" s="34"/>
      <c r="H58" s="34"/>
      <c r="I58" s="34"/>
      <c r="J58" s="35"/>
    </row>
    <row r="59" spans="1:10" ht="15.75" customHeight="1" x14ac:dyDescent="0.2">
      <c r="A59" s="2"/>
      <c r="B59" s="25" t="s">
        <v>23</v>
      </c>
      <c r="C59" s="21"/>
      <c r="D59" s="21"/>
      <c r="E59" s="22">
        <f>Table7143154165176187[[#This Row],[Projected Cost]]-Table7143154165176187[[#This Row],[Actual Cost]]</f>
        <v>0</v>
      </c>
      <c r="F59" s="14"/>
    </row>
    <row r="60" spans="1:10" ht="15.75" customHeight="1" x14ac:dyDescent="0.2">
      <c r="A60" s="2"/>
      <c r="B60" s="25" t="s">
        <v>22</v>
      </c>
      <c r="C60" s="21"/>
      <c r="D60" s="21"/>
      <c r="E60" s="22">
        <f>Table7143154165176187[[#This Row],[Projected Cost]]-Table7143154165176187[[#This Row],[Actual Cost]]</f>
        <v>0</v>
      </c>
      <c r="F60" s="14"/>
    </row>
    <row r="61" spans="1:10" ht="15.75" customHeight="1" x14ac:dyDescent="0.2">
      <c r="A61" s="2"/>
      <c r="B61" s="25" t="s">
        <v>28</v>
      </c>
      <c r="C61" s="21"/>
      <c r="D61" s="21"/>
      <c r="E61" s="22">
        <f>Table7143154165176187[[#This Row],[Projected Cost]]-Table7143154165176187[[#This Row],[Actual Cost]]</f>
        <v>0</v>
      </c>
      <c r="F61" s="14"/>
    </row>
    <row r="62" spans="1:10" ht="15.75" customHeight="1" x14ac:dyDescent="0.2">
      <c r="A62" s="2"/>
      <c r="B62" s="25" t="s">
        <v>65</v>
      </c>
      <c r="C62" s="21"/>
      <c r="D62" s="21"/>
      <c r="E62" s="22">
        <f>Table7143154165176187[[#This Row],[Projected Cost]]-Table7143154165176187[[#This Row],[Actual Cost]]</f>
        <v>0</v>
      </c>
      <c r="F62" s="14"/>
    </row>
    <row r="63" spans="1:10" ht="15.75" customHeight="1" x14ac:dyDescent="0.2">
      <c r="A63" s="2"/>
      <c r="B63" s="25" t="s">
        <v>32</v>
      </c>
      <c r="C63" s="21"/>
      <c r="D63" s="21"/>
      <c r="E63" s="22">
        <f>Table7143154165176187[[#This Row],[Projected Cost]]-Table7143154165176187[[#This Row],[Actual Cost]]</f>
        <v>0</v>
      </c>
      <c r="F63" s="14"/>
    </row>
    <row r="64" spans="1:10" ht="15.75" customHeight="1" x14ac:dyDescent="0.2">
      <c r="A64" s="2"/>
      <c r="B64" s="25" t="s">
        <v>10</v>
      </c>
      <c r="C64" s="21"/>
      <c r="D64" s="21"/>
      <c r="E64" s="22">
        <f>Table7143154165176187[[#This Row],[Projected Cost]]-Table7143154165176187[[#This Row],[Actual Cost]]</f>
        <v>0</v>
      </c>
      <c r="F64" s="14"/>
    </row>
    <row r="65" spans="1:6" ht="15.75" customHeight="1" x14ac:dyDescent="0.2">
      <c r="A65" s="2"/>
      <c r="B65" s="18" t="s">
        <v>57</v>
      </c>
      <c r="C65" s="21">
        <f>SUBTOTAL(109,Table7143154165176187[Projected Cost])</f>
        <v>0</v>
      </c>
      <c r="D65" s="21">
        <f>SUBTOTAL(109,Table7143154165176187[Actual Cost])</f>
        <v>0</v>
      </c>
      <c r="E65" s="24">
        <f>SUBTOTAL(109,Table7143154165176187[Difference])</f>
        <v>0</v>
      </c>
      <c r="F65" s="14"/>
    </row>
    <row r="66" spans="1:6" ht="15.75" customHeight="1" x14ac:dyDescent="0.2">
      <c r="B66" t="s">
        <v>70</v>
      </c>
    </row>
  </sheetData>
  <mergeCells count="32">
    <mergeCell ref="B2:J2"/>
    <mergeCell ref="B3:D3"/>
    <mergeCell ref="B4:B7"/>
    <mergeCell ref="C4:D4"/>
    <mergeCell ref="G4:I6"/>
    <mergeCell ref="J4:J6"/>
    <mergeCell ref="C5:D5"/>
    <mergeCell ref="C7:D7"/>
    <mergeCell ref="G7:I9"/>
    <mergeCell ref="J7:J9"/>
    <mergeCell ref="B42:E42"/>
    <mergeCell ref="B8:B11"/>
    <mergeCell ref="C8:D8"/>
    <mergeCell ref="C10:D10"/>
    <mergeCell ref="G10:I11"/>
    <mergeCell ref="G24:J24"/>
    <mergeCell ref="B25:E25"/>
    <mergeCell ref="G33:J33"/>
    <mergeCell ref="B35:E35"/>
    <mergeCell ref="G40:J40"/>
    <mergeCell ref="J10:J11"/>
    <mergeCell ref="C11:D11"/>
    <mergeCell ref="G57:I58"/>
    <mergeCell ref="J57:J58"/>
    <mergeCell ref="G46:J46"/>
    <mergeCell ref="B48:E48"/>
    <mergeCell ref="G52:J52"/>
    <mergeCell ref="G53:I54"/>
    <mergeCell ref="J53:J54"/>
    <mergeCell ref="G55:I56"/>
    <mergeCell ref="J55:J56"/>
    <mergeCell ref="B56:E56"/>
  </mergeCells>
  <conditionalFormatting sqref="E14:E24 E27:E34 E37:E41 E44:E47 E50:E55 E58:E65 J14:J23 J26:J32 J35:J39 J42:J45 J48:J51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709C-7A4E-421A-ACF2-5E533DDF7226}">
  <sheetPr>
    <pageSetUpPr autoPageBreaks="0" fitToPage="1"/>
  </sheetPr>
  <dimension ref="A1:J66"/>
  <sheetViews>
    <sheetView showGridLines="0" topLeftCell="A34" workbookViewId="0">
      <selection activeCell="J53" sqref="J53:J58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3" t="s">
        <v>34</v>
      </c>
      <c r="C2" s="33"/>
      <c r="D2" s="33"/>
      <c r="E2" s="33"/>
      <c r="F2" s="33"/>
      <c r="G2" s="33"/>
      <c r="H2" s="33"/>
      <c r="I2" s="33"/>
      <c r="J2" s="33"/>
    </row>
    <row r="3" spans="1:10" ht="8.1" customHeight="1" x14ac:dyDescent="0.2">
      <c r="A3" s="2"/>
      <c r="B3" s="43"/>
      <c r="C3" s="43"/>
      <c r="D3" s="43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40" t="s">
        <v>53</v>
      </c>
      <c r="C4" s="38" t="s">
        <v>68</v>
      </c>
      <c r="D4" s="39"/>
      <c r="E4" s="17">
        <v>0</v>
      </c>
      <c r="F4" s="5"/>
      <c r="G4" s="44" t="s">
        <v>58</v>
      </c>
      <c r="H4" s="45"/>
      <c r="I4" s="46"/>
      <c r="J4" s="53">
        <f>E7-J53</f>
        <v>0</v>
      </c>
    </row>
    <row r="5" spans="1:10" ht="15.95" customHeight="1" x14ac:dyDescent="0.2">
      <c r="A5" s="2"/>
      <c r="B5" s="41"/>
      <c r="C5" s="38" t="s">
        <v>69</v>
      </c>
      <c r="D5" s="39"/>
      <c r="E5" s="17">
        <v>0</v>
      </c>
      <c r="F5" s="5"/>
      <c r="G5" s="47"/>
      <c r="H5" s="48"/>
      <c r="I5" s="49"/>
      <c r="J5" s="54"/>
    </row>
    <row r="6" spans="1:10" ht="15.95" customHeight="1" x14ac:dyDescent="0.2">
      <c r="A6" s="2"/>
      <c r="B6" s="41"/>
      <c r="C6" s="27" t="s">
        <v>10</v>
      </c>
      <c r="D6" s="28"/>
      <c r="E6" s="17">
        <v>0</v>
      </c>
      <c r="F6" s="5"/>
      <c r="G6" s="50"/>
      <c r="H6" s="51"/>
      <c r="I6" s="52"/>
      <c r="J6" s="55"/>
    </row>
    <row r="7" spans="1:10" ht="15.95" customHeight="1" x14ac:dyDescent="0.2">
      <c r="A7" s="2"/>
      <c r="B7" s="42"/>
      <c r="C7" s="36" t="s">
        <v>35</v>
      </c>
      <c r="D7" s="37"/>
      <c r="E7" s="30">
        <f>SUM(E4:E6)</f>
        <v>0</v>
      </c>
      <c r="F7" s="5"/>
      <c r="G7" s="44" t="s">
        <v>59</v>
      </c>
      <c r="H7" s="45"/>
      <c r="I7" s="46"/>
      <c r="J7" s="53">
        <f>E11-J55</f>
        <v>0</v>
      </c>
    </row>
    <row r="8" spans="1:10" ht="15.95" customHeight="1" x14ac:dyDescent="0.2">
      <c r="A8" s="2"/>
      <c r="B8" s="40" t="s">
        <v>52</v>
      </c>
      <c r="C8" s="38" t="s">
        <v>68</v>
      </c>
      <c r="D8" s="39"/>
      <c r="E8" s="17">
        <v>0</v>
      </c>
      <c r="F8" s="5"/>
      <c r="G8" s="47"/>
      <c r="H8" s="48"/>
      <c r="I8" s="49"/>
      <c r="J8" s="54"/>
    </row>
    <row r="9" spans="1:10" ht="15.95" customHeight="1" x14ac:dyDescent="0.2">
      <c r="A9" s="2"/>
      <c r="B9" s="41"/>
      <c r="C9" s="27" t="s">
        <v>69</v>
      </c>
      <c r="D9" s="28"/>
      <c r="E9" s="17">
        <v>0</v>
      </c>
      <c r="F9" s="5"/>
      <c r="G9" s="50"/>
      <c r="H9" s="51"/>
      <c r="I9" s="52"/>
      <c r="J9" s="55"/>
    </row>
    <row r="10" spans="1:10" ht="15.95" customHeight="1" x14ac:dyDescent="0.2">
      <c r="A10" s="2"/>
      <c r="B10" s="41"/>
      <c r="C10" s="38" t="s">
        <v>10</v>
      </c>
      <c r="D10" s="39"/>
      <c r="E10" s="17">
        <v>0</v>
      </c>
      <c r="F10" s="5"/>
      <c r="G10" s="34" t="s">
        <v>60</v>
      </c>
      <c r="H10" s="34"/>
      <c r="I10" s="34"/>
      <c r="J10" s="35">
        <f>J7-J4</f>
        <v>0</v>
      </c>
    </row>
    <row r="11" spans="1:10" ht="15.95" customHeight="1" x14ac:dyDescent="0.2">
      <c r="A11" s="2"/>
      <c r="B11" s="42"/>
      <c r="C11" s="36" t="s">
        <v>35</v>
      </c>
      <c r="D11" s="37"/>
      <c r="E11" s="30">
        <f>SUM(E8:E10)</f>
        <v>0</v>
      </c>
      <c r="F11" s="5"/>
      <c r="G11" s="34"/>
      <c r="H11" s="34"/>
      <c r="I11" s="34"/>
      <c r="J11" s="35"/>
    </row>
    <row r="12" spans="1:10" ht="15.95" customHeight="1" x14ac:dyDescent="0.2">
      <c r="A12" s="2"/>
      <c r="B12" s="29"/>
      <c r="C12" s="29"/>
      <c r="D12" s="10"/>
      <c r="E12" s="11"/>
      <c r="F12" s="5"/>
      <c r="G12" s="12"/>
      <c r="H12" s="12"/>
      <c r="I12" s="12"/>
      <c r="J12" s="13"/>
    </row>
    <row r="13" spans="1:10" ht="15.95" customHeight="1" x14ac:dyDescent="0.2">
      <c r="A13" s="2"/>
      <c r="B13" s="18" t="s">
        <v>43</v>
      </c>
      <c r="C13" s="19" t="s">
        <v>0</v>
      </c>
      <c r="D13" s="19" t="s">
        <v>1</v>
      </c>
      <c r="E13" s="20" t="s">
        <v>2</v>
      </c>
      <c r="F13" s="16"/>
      <c r="G13" s="18" t="s">
        <v>44</v>
      </c>
      <c r="H13" s="19" t="s">
        <v>0</v>
      </c>
      <c r="I13" s="19" t="s">
        <v>1</v>
      </c>
      <c r="J13" s="20" t="s">
        <v>2</v>
      </c>
    </row>
    <row r="14" spans="1:10" ht="15.75" customHeight="1" x14ac:dyDescent="0.2">
      <c r="A14" s="2"/>
      <c r="B14" s="25" t="s">
        <v>62</v>
      </c>
      <c r="C14" s="21"/>
      <c r="D14" s="21"/>
      <c r="E14" s="22">
        <f>Table1134145156167178189[[#This Row],[Projected Cost]]-Table1134145156167178189[[#This Row],[Actual Cost]]</f>
        <v>0</v>
      </c>
      <c r="F14" s="26"/>
      <c r="G14" s="25" t="s">
        <v>66</v>
      </c>
      <c r="H14" s="21"/>
      <c r="I14" s="21"/>
      <c r="J14" s="22">
        <f>Table2144155166177188199[[#This Row],[Projected Cost]]-Table2144155166177188199[[#This Row],[Actual Cost]]</f>
        <v>0</v>
      </c>
    </row>
    <row r="15" spans="1:10" ht="15.75" customHeight="1" x14ac:dyDescent="0.2">
      <c r="A15" s="2"/>
      <c r="B15" s="25" t="s">
        <v>3</v>
      </c>
      <c r="C15" s="21"/>
      <c r="D15" s="21"/>
      <c r="E15" s="22">
        <f>Table1134145156167178189[[#This Row],[Projected Cost]]-Table1134145156167178189[[#This Row],[Actual Cost]]</f>
        <v>0</v>
      </c>
      <c r="F15" s="26"/>
      <c r="G15" s="25" t="s">
        <v>61</v>
      </c>
      <c r="H15" s="21"/>
      <c r="I15" s="21"/>
      <c r="J15" s="22">
        <f>Table2144155166177188199[[#This Row],[Projected Cost]]-Table2144155166177188199[[#This Row],[Actual Cost]]</f>
        <v>0</v>
      </c>
    </row>
    <row r="16" spans="1:10" ht="15.75" customHeight="1" x14ac:dyDescent="0.2">
      <c r="A16" s="2"/>
      <c r="B16" s="25" t="s">
        <v>37</v>
      </c>
      <c r="C16" s="21"/>
      <c r="D16" s="21"/>
      <c r="E16" s="22">
        <f>Table1134145156167178189[[#This Row],[Projected Cost]]-Table1134145156167178189[[#This Row],[Actual Cost]]</f>
        <v>0</v>
      </c>
      <c r="F16" s="26"/>
      <c r="G16" s="25" t="s">
        <v>25</v>
      </c>
      <c r="H16" s="21"/>
      <c r="I16" s="21"/>
      <c r="J16" s="22">
        <f>Table2144155166177188199[[#This Row],[Projected Cost]]-Table2144155166177188199[[#This Row],[Actual Cost]]</f>
        <v>0</v>
      </c>
    </row>
    <row r="17" spans="1:10" ht="15.75" customHeight="1" x14ac:dyDescent="0.2">
      <c r="A17" s="2"/>
      <c r="B17" s="25" t="s">
        <v>4</v>
      </c>
      <c r="C17" s="21"/>
      <c r="D17" s="21"/>
      <c r="E17" s="22">
        <f>Table1134145156167178189[[#This Row],[Projected Cost]]-Table1134145156167178189[[#This Row],[Actual Cost]]</f>
        <v>0</v>
      </c>
      <c r="F17" s="26"/>
      <c r="G17" s="25" t="s">
        <v>26</v>
      </c>
      <c r="H17" s="21"/>
      <c r="I17" s="21"/>
      <c r="J17" s="22">
        <f>Table2144155166177188199[[#This Row],[Projected Cost]]-Table2144155166177188199[[#This Row],[Actual Cost]]</f>
        <v>0</v>
      </c>
    </row>
    <row r="18" spans="1:10" ht="15.75" customHeight="1" x14ac:dyDescent="0.2">
      <c r="A18" s="2"/>
      <c r="B18" s="25" t="s">
        <v>5</v>
      </c>
      <c r="C18" s="21"/>
      <c r="D18" s="21"/>
      <c r="E18" s="22">
        <f>Table1134145156167178189[[#This Row],[Projected Cost]]-Table1134145156167178189[[#This Row],[Actual Cost]]</f>
        <v>0</v>
      </c>
      <c r="F18" s="26"/>
      <c r="G18" s="25" t="s">
        <v>39</v>
      </c>
      <c r="H18" s="21"/>
      <c r="I18" s="21"/>
      <c r="J18" s="22">
        <f>Table2144155166177188199[[#This Row],[Projected Cost]]-Table2144155166177188199[[#This Row],[Actual Cost]]</f>
        <v>0</v>
      </c>
    </row>
    <row r="19" spans="1:10" ht="15.75" customHeight="1" x14ac:dyDescent="0.2">
      <c r="A19" s="2"/>
      <c r="B19" s="25" t="s">
        <v>6</v>
      </c>
      <c r="C19" s="21"/>
      <c r="D19" s="21"/>
      <c r="E19" s="22">
        <f>Table1134145156167178189[[#This Row],[Projected Cost]]-Table1134145156167178189[[#This Row],[Actual Cost]]</f>
        <v>0</v>
      </c>
      <c r="F19" s="26"/>
      <c r="G19" s="25" t="s">
        <v>27</v>
      </c>
      <c r="H19" s="21"/>
      <c r="I19" s="21"/>
      <c r="J19" s="22">
        <f>Table2144155166177188199[[#This Row],[Projected Cost]]-Table2144155166177188199[[#This Row],[Actual Cost]]</f>
        <v>0</v>
      </c>
    </row>
    <row r="20" spans="1:10" ht="15.75" customHeight="1" x14ac:dyDescent="0.2">
      <c r="A20" s="2"/>
      <c r="B20" s="25" t="s">
        <v>7</v>
      </c>
      <c r="C20" s="21"/>
      <c r="D20" s="21"/>
      <c r="E20" s="22">
        <f>Table1134145156167178189[[#This Row],[Projected Cost]]-Table1134145156167178189[[#This Row],[Actual Cost]]</f>
        <v>0</v>
      </c>
      <c r="F20" s="26"/>
      <c r="G20" s="25" t="s">
        <v>10</v>
      </c>
      <c r="H20" s="21"/>
      <c r="I20" s="21"/>
      <c r="J20" s="22">
        <f>Table2144155166177188199[[#This Row],[Projected Cost]]-Table2144155166177188199[[#This Row],[Actual Cost]]</f>
        <v>0</v>
      </c>
    </row>
    <row r="21" spans="1:10" ht="15.75" customHeight="1" x14ac:dyDescent="0.2">
      <c r="A21" s="2"/>
      <c r="B21" s="25" t="s">
        <v>8</v>
      </c>
      <c r="C21" s="21"/>
      <c r="D21" s="21"/>
      <c r="E21" s="22">
        <f>Table1134145156167178189[[#This Row],[Projected Cost]]-Table1134145156167178189[[#This Row],[Actual Cost]]</f>
        <v>0</v>
      </c>
      <c r="F21" s="26"/>
      <c r="G21" s="25" t="s">
        <v>10</v>
      </c>
      <c r="H21" s="21"/>
      <c r="I21" s="21"/>
      <c r="J21" s="22">
        <f>Table2144155166177188199[[#This Row],[Projected Cost]]-Table2144155166177188199[[#This Row],[Actual Cost]]</f>
        <v>0</v>
      </c>
    </row>
    <row r="22" spans="1:10" ht="15.75" customHeight="1" x14ac:dyDescent="0.2">
      <c r="A22" s="2"/>
      <c r="B22" s="25" t="s">
        <v>9</v>
      </c>
      <c r="C22" s="21"/>
      <c r="D22" s="21"/>
      <c r="E22" s="22">
        <f>Table1134145156167178189[[#This Row],[Projected Cost]]-Table1134145156167178189[[#This Row],[Actual Cost]]</f>
        <v>0</v>
      </c>
      <c r="F22" s="26"/>
      <c r="G22" s="25" t="s">
        <v>10</v>
      </c>
      <c r="H22" s="21"/>
      <c r="I22" s="21"/>
      <c r="J22" s="22">
        <f>Table2144155166177188199[[#This Row],[Projected Cost]]-Table2144155166177188199[[#This Row],[Actual Cost]]</f>
        <v>0</v>
      </c>
    </row>
    <row r="23" spans="1:10" ht="15.75" customHeight="1" x14ac:dyDescent="0.2">
      <c r="A23" s="2"/>
      <c r="B23" s="25" t="s">
        <v>10</v>
      </c>
      <c r="C23" s="21"/>
      <c r="D23" s="21"/>
      <c r="E23" s="22">
        <f>Table1134145156167178189[[#This Row],[Projected Cost]]-Table1134145156167178189[[#This Row],[Actual Cost]]</f>
        <v>0</v>
      </c>
      <c r="F23" s="26"/>
      <c r="G23" s="18" t="s">
        <v>57</v>
      </c>
      <c r="H23" s="23">
        <f>SUBTOTAL(109,Table2144155166177188199[Projected Cost])</f>
        <v>0</v>
      </c>
      <c r="I23" s="21">
        <f>SUBTOTAL(109,Table2144155166177188199[Actual Cost])</f>
        <v>0</v>
      </c>
      <c r="J23" s="24">
        <f>SUBTOTAL(109,Table2144155166177188199[Difference])</f>
        <v>0</v>
      </c>
    </row>
    <row r="24" spans="1:10" ht="15.75" customHeight="1" x14ac:dyDescent="0.2">
      <c r="A24" s="2"/>
      <c r="B24" s="18" t="s">
        <v>57</v>
      </c>
      <c r="C24" s="21">
        <f>SUBTOTAL(109,Table1134145156167178189[Projected Cost])</f>
        <v>0</v>
      </c>
      <c r="D24" s="21">
        <f>SUBTOTAL(109,Table1134145156167178189[Actual Cost])</f>
        <v>0</v>
      </c>
      <c r="E24" s="24">
        <f>SUBTOTAL(109,Table1134145156167178189[Difference])</f>
        <v>0</v>
      </c>
      <c r="F24" s="26"/>
      <c r="G24" s="32"/>
      <c r="H24" s="32"/>
      <c r="I24" s="32"/>
      <c r="J24" s="32"/>
    </row>
    <row r="25" spans="1:10" ht="15.75" customHeight="1" x14ac:dyDescent="0.2">
      <c r="A25" s="2"/>
      <c r="B25" s="31"/>
      <c r="C25" s="31"/>
      <c r="D25" s="31"/>
      <c r="E25" s="31"/>
      <c r="F25" s="26"/>
      <c r="G25" s="18" t="s">
        <v>67</v>
      </c>
      <c r="H25" s="19" t="s">
        <v>0</v>
      </c>
      <c r="I25" s="19" t="s">
        <v>1</v>
      </c>
      <c r="J25" s="20" t="s">
        <v>2</v>
      </c>
    </row>
    <row r="26" spans="1:10" ht="15.75" customHeight="1" x14ac:dyDescent="0.2">
      <c r="A26" s="2"/>
      <c r="B26" s="18" t="s">
        <v>45</v>
      </c>
      <c r="C26" s="19" t="s">
        <v>0</v>
      </c>
      <c r="D26" s="19" t="s">
        <v>1</v>
      </c>
      <c r="E26" s="20" t="s">
        <v>2</v>
      </c>
      <c r="F26" s="26"/>
      <c r="G26" s="25" t="s">
        <v>29</v>
      </c>
      <c r="H26" s="21"/>
      <c r="I26" s="21"/>
      <c r="J26" s="22">
        <f>Table8141152163174185196[[#This Row],[Projected Cost]]-Table8141152163174185196[[#This Row],[Actual Cost]]</f>
        <v>0</v>
      </c>
    </row>
    <row r="27" spans="1:10" ht="15.75" customHeight="1" x14ac:dyDescent="0.2">
      <c r="A27" s="2"/>
      <c r="B27" s="25" t="s">
        <v>38</v>
      </c>
      <c r="C27" s="21"/>
      <c r="D27" s="21"/>
      <c r="E27" s="22">
        <f>Table3140151162173184195[[#This Row],[Projected Cost]]-Table3140151162173184195[[#This Row],[Actual Cost]]</f>
        <v>0</v>
      </c>
      <c r="F27" s="26"/>
      <c r="G27" s="25" t="s">
        <v>33</v>
      </c>
      <c r="H27" s="21"/>
      <c r="I27" s="21"/>
      <c r="J27" s="22">
        <f>Table8141152163174185196[[#This Row],[Projected Cost]]-Table8141152163174185196[[#This Row],[Actual Cost]]</f>
        <v>0</v>
      </c>
    </row>
    <row r="28" spans="1:10" ht="15.75" customHeight="1" x14ac:dyDescent="0.2">
      <c r="A28" s="2"/>
      <c r="B28" s="25" t="s">
        <v>63</v>
      </c>
      <c r="C28" s="21"/>
      <c r="D28" s="21"/>
      <c r="E28" s="22">
        <f>Table3140151162173184195[[#This Row],[Projected Cost]]-Table3140151162173184195[[#This Row],[Actual Cost]]</f>
        <v>0</v>
      </c>
      <c r="F28" s="26"/>
      <c r="G28" s="25" t="s">
        <v>40</v>
      </c>
      <c r="H28" s="21"/>
      <c r="I28" s="21"/>
      <c r="J28" s="22">
        <f>Table8141152163174185196[[#This Row],[Projected Cost]]-Table8141152163174185196[[#This Row],[Actual Cost]]</f>
        <v>0</v>
      </c>
    </row>
    <row r="29" spans="1:10" ht="15.75" customHeight="1" x14ac:dyDescent="0.2">
      <c r="A29" s="2"/>
      <c r="B29" s="25" t="s">
        <v>11</v>
      </c>
      <c r="C29" s="21"/>
      <c r="D29" s="21"/>
      <c r="E29" s="22">
        <f>Table3140151162173184195[[#This Row],[Projected Cost]]-Table3140151162173184195[[#This Row],[Actual Cost]]</f>
        <v>0</v>
      </c>
      <c r="F29" s="26"/>
      <c r="G29" s="25" t="s">
        <v>40</v>
      </c>
      <c r="H29" s="21"/>
      <c r="I29" s="21"/>
      <c r="J29" s="22">
        <f>Table8141152163174185196[[#This Row],[Projected Cost]]-Table8141152163174185196[[#This Row],[Actual Cost]]</f>
        <v>0</v>
      </c>
    </row>
    <row r="30" spans="1:10" ht="15.75" customHeight="1" x14ac:dyDescent="0.2">
      <c r="A30" s="2"/>
      <c r="B30" s="25" t="s">
        <v>12</v>
      </c>
      <c r="C30" s="21"/>
      <c r="D30" s="21"/>
      <c r="E30" s="22">
        <f>Table3140151162173184195[[#This Row],[Projected Cost]]-Table3140151162173184195[[#This Row],[Actual Cost]]</f>
        <v>0</v>
      </c>
      <c r="F30" s="26"/>
      <c r="G30" s="25" t="s">
        <v>40</v>
      </c>
      <c r="H30" s="21"/>
      <c r="I30" s="21"/>
      <c r="J30" s="22">
        <f>Table8141152163174185196[[#This Row],[Projected Cost]]-Table8141152163174185196[[#This Row],[Actual Cost]]</f>
        <v>0</v>
      </c>
    </row>
    <row r="31" spans="1:10" ht="15.75" customHeight="1" x14ac:dyDescent="0.2">
      <c r="A31" s="2"/>
      <c r="B31" s="25" t="s">
        <v>13</v>
      </c>
      <c r="C31" s="21"/>
      <c r="D31" s="21"/>
      <c r="E31" s="22">
        <f>Table3140151162173184195[[#This Row],[Projected Cost]]-Table3140151162173184195[[#This Row],[Actual Cost]]</f>
        <v>0</v>
      </c>
      <c r="F31" s="26"/>
      <c r="G31" s="25" t="s">
        <v>10</v>
      </c>
      <c r="H31" s="21"/>
      <c r="I31" s="21"/>
      <c r="J31" s="22">
        <f>Table8141152163174185196[[#This Row],[Projected Cost]]-Table8141152163174185196[[#This Row],[Actual Cost]]</f>
        <v>0</v>
      </c>
    </row>
    <row r="32" spans="1:10" ht="15.75" customHeight="1" x14ac:dyDescent="0.2">
      <c r="A32" s="2"/>
      <c r="B32" s="25" t="s">
        <v>14</v>
      </c>
      <c r="C32" s="21"/>
      <c r="D32" s="21"/>
      <c r="E32" s="22">
        <f>Table3140151162173184195[[#This Row],[Projected Cost]]-Table3140151162173184195[[#This Row],[Actual Cost]]</f>
        <v>0</v>
      </c>
      <c r="F32" s="26"/>
      <c r="G32" s="18" t="s">
        <v>57</v>
      </c>
      <c r="H32" s="21">
        <f>SUBTOTAL(109,Table8141152163174185196[Projected Cost])</f>
        <v>0</v>
      </c>
      <c r="I32" s="21">
        <f>SUBTOTAL(109,Table8141152163174185196[Actual Cost])</f>
        <v>0</v>
      </c>
      <c r="J32" s="24">
        <f>SUBTOTAL(109,Table8141152163174185196[Difference])</f>
        <v>0</v>
      </c>
    </row>
    <row r="33" spans="1:10" ht="15.75" customHeight="1" x14ac:dyDescent="0.2">
      <c r="A33" s="2"/>
      <c r="B33" s="25" t="s">
        <v>10</v>
      </c>
      <c r="C33" s="21"/>
      <c r="D33" s="21"/>
      <c r="E33" s="22">
        <f>Table3140151162173184195[[#This Row],[Projected Cost]]-Table3140151162173184195[[#This Row],[Actual Cost]]</f>
        <v>0</v>
      </c>
      <c r="F33" s="26"/>
      <c r="G33" s="31"/>
      <c r="H33" s="31"/>
      <c r="I33" s="31"/>
      <c r="J33" s="31"/>
    </row>
    <row r="34" spans="1:10" ht="15.75" customHeight="1" x14ac:dyDescent="0.2">
      <c r="A34" s="2"/>
      <c r="B34" s="18" t="s">
        <v>57</v>
      </c>
      <c r="C34" s="21">
        <f>SUBTOTAL(109,Table3140151162173184195[Projected Cost])</f>
        <v>0</v>
      </c>
      <c r="D34" s="21">
        <f>SUBTOTAL(109,Table3140151162173184195[Actual Cost])</f>
        <v>0</v>
      </c>
      <c r="E34" s="24">
        <f>SUBTOTAL(109,Table3140151162173184195[Difference])</f>
        <v>0</v>
      </c>
      <c r="F34" s="26"/>
      <c r="G34" s="18" t="s">
        <v>10</v>
      </c>
      <c r="H34" s="19" t="s">
        <v>0</v>
      </c>
      <c r="I34" s="19" t="s">
        <v>1</v>
      </c>
      <c r="J34" s="20" t="s">
        <v>2</v>
      </c>
    </row>
    <row r="35" spans="1:10" ht="15.75" customHeight="1" x14ac:dyDescent="0.2">
      <c r="A35" s="2"/>
      <c r="B35" s="31"/>
      <c r="C35" s="31"/>
      <c r="D35" s="31"/>
      <c r="E35" s="31"/>
      <c r="F35" s="26"/>
      <c r="G35" s="25" t="s">
        <v>10</v>
      </c>
      <c r="H35" s="21"/>
      <c r="I35" s="21"/>
      <c r="J35" s="22">
        <f>Table9139150161172183194[[#This Row],[Projected Cost]]-Table9139150161172183194[[#This Row],[Actual Cost]]</f>
        <v>0</v>
      </c>
    </row>
    <row r="36" spans="1:10" ht="15.75" customHeight="1" x14ac:dyDescent="0.2">
      <c r="A36" s="2"/>
      <c r="B36" s="18" t="s">
        <v>46</v>
      </c>
      <c r="C36" s="19" t="s">
        <v>0</v>
      </c>
      <c r="D36" s="19" t="s">
        <v>1</v>
      </c>
      <c r="E36" s="20" t="s">
        <v>2</v>
      </c>
      <c r="F36" s="26"/>
      <c r="G36" s="25" t="s">
        <v>10</v>
      </c>
      <c r="H36" s="21"/>
      <c r="I36" s="21"/>
      <c r="J36" s="22">
        <f>Table9139150161172183194[[#This Row],[Projected Cost]]-Table9139150161172183194[[#This Row],[Actual Cost]]</f>
        <v>0</v>
      </c>
    </row>
    <row r="37" spans="1:10" ht="15.75" customHeight="1" x14ac:dyDescent="0.2">
      <c r="A37" s="2"/>
      <c r="B37" s="25" t="s">
        <v>64</v>
      </c>
      <c r="C37" s="21"/>
      <c r="D37" s="21"/>
      <c r="E37" s="22">
        <f>Table4135146157168179190[[#This Row],[Projected Cost]]-Table4135146157168179190[[#This Row],[Actual Cost]]</f>
        <v>0</v>
      </c>
      <c r="F37" s="26"/>
      <c r="G37" s="25" t="s">
        <v>10</v>
      </c>
      <c r="H37" s="21"/>
      <c r="I37" s="21"/>
      <c r="J37" s="22">
        <f>Table9139150161172183194[[#This Row],[Projected Cost]]-Table9139150161172183194[[#This Row],[Actual Cost]]</f>
        <v>0</v>
      </c>
    </row>
    <row r="38" spans="1:10" ht="15.75" customHeight="1" x14ac:dyDescent="0.2">
      <c r="A38" s="2"/>
      <c r="B38" s="25" t="s">
        <v>15</v>
      </c>
      <c r="C38" s="21"/>
      <c r="D38" s="21"/>
      <c r="E38" s="22">
        <f>Table4135146157168179190[[#This Row],[Projected Cost]]-Table4135146157168179190[[#This Row],[Actual Cost]]</f>
        <v>0</v>
      </c>
      <c r="F38" s="26"/>
      <c r="G38" s="25" t="s">
        <v>10</v>
      </c>
      <c r="H38" s="21"/>
      <c r="I38" s="21"/>
      <c r="J38" s="22">
        <f>Table9139150161172183194[[#This Row],[Projected Cost]]-Table9139150161172183194[[#This Row],[Actual Cost]]</f>
        <v>0</v>
      </c>
    </row>
    <row r="39" spans="1:10" ht="15.75" customHeight="1" x14ac:dyDescent="0.2">
      <c r="A39" s="2"/>
      <c r="B39" s="25" t="s">
        <v>16</v>
      </c>
      <c r="C39" s="21"/>
      <c r="D39" s="21"/>
      <c r="E39" s="22">
        <f>Table4135146157168179190[[#This Row],[Projected Cost]]-Table4135146157168179190[[#This Row],[Actual Cost]]</f>
        <v>0</v>
      </c>
      <c r="F39" s="26"/>
      <c r="G39" s="18" t="s">
        <v>57</v>
      </c>
      <c r="H39" s="21">
        <f>SUBTOTAL(109,Table9139150161172183194[Projected Cost])</f>
        <v>0</v>
      </c>
      <c r="I39" s="21">
        <f>SUBTOTAL(109,Table9139150161172183194[Actual Cost])</f>
        <v>0</v>
      </c>
      <c r="J39" s="24">
        <f>SUBTOTAL(109,Table9139150161172183194[Difference])</f>
        <v>0</v>
      </c>
    </row>
    <row r="40" spans="1:10" ht="15.75" customHeight="1" x14ac:dyDescent="0.2">
      <c r="A40" s="2"/>
      <c r="B40" s="25" t="s">
        <v>10</v>
      </c>
      <c r="C40" s="21"/>
      <c r="D40" s="21"/>
      <c r="E40" s="22">
        <f>Table4135146157168179190[[#This Row],[Projected Cost]]-Table4135146157168179190[[#This Row],[Actual Cost]]</f>
        <v>0</v>
      </c>
      <c r="F40" s="26"/>
      <c r="G40" s="31"/>
      <c r="H40" s="31"/>
      <c r="I40" s="31"/>
      <c r="J40" s="31"/>
    </row>
    <row r="41" spans="1:10" ht="15.75" customHeight="1" x14ac:dyDescent="0.2">
      <c r="A41" s="2"/>
      <c r="B41" s="18" t="s">
        <v>57</v>
      </c>
      <c r="C41" s="21">
        <f>SUBTOTAL(109,Table4135146157168179190[Projected Cost])</f>
        <v>0</v>
      </c>
      <c r="D41" s="21">
        <f>SUBTOTAL(109,Table4135146157168179190[Actual Cost])</f>
        <v>0</v>
      </c>
      <c r="E41" s="24">
        <f>SUBTOTAL(109,Table4135146157168179190[Difference])</f>
        <v>0</v>
      </c>
      <c r="F41" s="26"/>
      <c r="G41" s="18" t="s">
        <v>48</v>
      </c>
      <c r="H41" s="19" t="s">
        <v>0</v>
      </c>
      <c r="I41" s="19" t="s">
        <v>1</v>
      </c>
      <c r="J41" s="20" t="s">
        <v>2</v>
      </c>
    </row>
    <row r="42" spans="1:10" ht="15.75" customHeight="1" x14ac:dyDescent="0.2">
      <c r="A42" s="2"/>
      <c r="B42" s="31"/>
      <c r="C42" s="31"/>
      <c r="D42" s="31"/>
      <c r="E42" s="31"/>
      <c r="F42" s="26"/>
      <c r="G42" s="25" t="s">
        <v>41</v>
      </c>
      <c r="H42" s="21"/>
      <c r="I42" s="21"/>
      <c r="J42" s="22">
        <f>Table10142153164175186197[[#This Row],[Projected Cost]]-Table10142153164175186197[[#This Row],[Actual Cost]]</f>
        <v>0</v>
      </c>
    </row>
    <row r="43" spans="1:10" ht="15.75" customHeight="1" x14ac:dyDescent="0.2">
      <c r="A43" s="2"/>
      <c r="B43" s="18" t="s">
        <v>47</v>
      </c>
      <c r="C43" s="19" t="s">
        <v>0</v>
      </c>
      <c r="D43" s="19" t="s">
        <v>1</v>
      </c>
      <c r="E43" s="20" t="s">
        <v>2</v>
      </c>
      <c r="F43" s="26"/>
      <c r="G43" s="25" t="s">
        <v>42</v>
      </c>
      <c r="H43" s="21"/>
      <c r="I43" s="21"/>
      <c r="J43" s="22">
        <f>Table10142153164175186197[[#This Row],[Projected Cost]]-Table10142153164175186197[[#This Row],[Actual Cost]]</f>
        <v>0</v>
      </c>
    </row>
    <row r="44" spans="1:10" ht="15.75" customHeight="1" x14ac:dyDescent="0.2">
      <c r="A44" s="2"/>
      <c r="B44" s="25" t="s">
        <v>17</v>
      </c>
      <c r="C44" s="21"/>
      <c r="D44" s="21"/>
      <c r="E44" s="22">
        <f>Table5138149160171182193[[#This Row],[Projected Cost]]-Table5138149160171182193[[#This Row],[Actual Cost]]</f>
        <v>0</v>
      </c>
      <c r="F44" s="26"/>
      <c r="G44" s="25" t="s">
        <v>10</v>
      </c>
      <c r="H44" s="21"/>
      <c r="I44" s="21"/>
      <c r="J44" s="22">
        <f>Table10142153164175186197[[#This Row],[Projected Cost]]-Table10142153164175186197[[#This Row],[Actual Cost]]</f>
        <v>0</v>
      </c>
    </row>
    <row r="45" spans="1:10" ht="15.75" customHeight="1" x14ac:dyDescent="0.2">
      <c r="A45" s="2"/>
      <c r="B45" s="25" t="s">
        <v>24</v>
      </c>
      <c r="C45" s="21"/>
      <c r="D45" s="21"/>
      <c r="E45" s="22">
        <f>Table5138149160171182193[[#This Row],[Projected Cost]]-Table5138149160171182193[[#This Row],[Actual Cost]]</f>
        <v>0</v>
      </c>
      <c r="F45" s="26"/>
      <c r="G45" s="18" t="s">
        <v>57</v>
      </c>
      <c r="H45" s="21">
        <f>SUBTOTAL(109,Table10142153164175186197[Projected Cost])</f>
        <v>0</v>
      </c>
      <c r="I45" s="21">
        <f>SUBTOTAL(109,Table10142153164175186197[Actual Cost])</f>
        <v>0</v>
      </c>
      <c r="J45" s="24">
        <f>SUBTOTAL(109,Table10142153164175186197[Difference])</f>
        <v>0</v>
      </c>
    </row>
    <row r="46" spans="1:10" ht="15.75" customHeight="1" x14ac:dyDescent="0.2">
      <c r="A46" s="2"/>
      <c r="B46" s="25" t="s">
        <v>10</v>
      </c>
      <c r="C46" s="21"/>
      <c r="D46" s="21"/>
      <c r="E46" s="22">
        <f>Table5138149160171182193[[#This Row],[Projected Cost]]-Table5138149160171182193[[#This Row],[Actual Cost]]</f>
        <v>0</v>
      </c>
      <c r="F46" s="26"/>
      <c r="G46" s="31"/>
      <c r="H46" s="31"/>
      <c r="I46" s="31"/>
      <c r="J46" s="31"/>
    </row>
    <row r="47" spans="1:10" ht="15.75" customHeight="1" x14ac:dyDescent="0.2">
      <c r="A47" s="2"/>
      <c r="B47" s="18" t="s">
        <v>57</v>
      </c>
      <c r="C47" s="21">
        <f>SUBTOTAL(109,Table5138149160171182193[Projected Cost])</f>
        <v>0</v>
      </c>
      <c r="D47" s="21">
        <f>SUBTOTAL(109,Table5138149160171182193[Actual Cost])</f>
        <v>0</v>
      </c>
      <c r="E47" s="24">
        <f>SUBTOTAL(109,Table5138149160171182193[Difference])</f>
        <v>0</v>
      </c>
      <c r="F47" s="26"/>
      <c r="G47" s="18" t="s">
        <v>49</v>
      </c>
      <c r="H47" s="19" t="s">
        <v>0</v>
      </c>
      <c r="I47" s="19" t="s">
        <v>1</v>
      </c>
      <c r="J47" s="20" t="s">
        <v>2</v>
      </c>
    </row>
    <row r="48" spans="1:10" ht="15.75" customHeight="1" x14ac:dyDescent="0.2">
      <c r="A48" s="2"/>
      <c r="B48" s="31"/>
      <c r="C48" s="31"/>
      <c r="D48" s="31"/>
      <c r="E48" s="31"/>
      <c r="F48" s="26"/>
      <c r="G48" s="25" t="s">
        <v>30</v>
      </c>
      <c r="H48" s="21"/>
      <c r="I48" s="21"/>
      <c r="J48" s="22">
        <f>Table11137148159170181192[[#This Row],[Projected Cost]]-Table11137148159170181192[[#This Row],[Actual Cost]]</f>
        <v>0</v>
      </c>
    </row>
    <row r="49" spans="1:10" ht="15.75" customHeight="1" x14ac:dyDescent="0.2">
      <c r="A49" s="2"/>
      <c r="B49" s="18" t="s">
        <v>50</v>
      </c>
      <c r="C49" s="19" t="s">
        <v>0</v>
      </c>
      <c r="D49" s="19" t="s">
        <v>1</v>
      </c>
      <c r="E49" s="20" t="s">
        <v>2</v>
      </c>
      <c r="F49" s="26"/>
      <c r="G49" s="25" t="s">
        <v>31</v>
      </c>
      <c r="H49" s="21"/>
      <c r="I49" s="21"/>
      <c r="J49" s="22">
        <f>Table11137148159170181192[[#This Row],[Projected Cost]]-Table11137148159170181192[[#This Row],[Actual Cost]]</f>
        <v>0</v>
      </c>
    </row>
    <row r="50" spans="1:10" ht="15.75" customHeight="1" x14ac:dyDescent="0.2">
      <c r="A50" s="2"/>
      <c r="B50" s="25" t="s">
        <v>18</v>
      </c>
      <c r="C50" s="21"/>
      <c r="D50" s="21"/>
      <c r="E50" s="22">
        <f>Table6136147158169180191[[#This Row],[Projected Cost]]-Table6136147158169180191[[#This Row],[Actual Cost]]</f>
        <v>0</v>
      </c>
      <c r="F50" s="26"/>
      <c r="G50" s="25" t="s">
        <v>36</v>
      </c>
      <c r="H50" s="21"/>
      <c r="I50" s="21"/>
      <c r="J50" s="22">
        <f>Table11137148159170181192[[#This Row],[Projected Cost]]-Table11137148159170181192[[#This Row],[Actual Cost]]</f>
        <v>0</v>
      </c>
    </row>
    <row r="51" spans="1:10" ht="15.75" customHeight="1" x14ac:dyDescent="0.2">
      <c r="A51" s="2"/>
      <c r="B51" s="25" t="s">
        <v>20</v>
      </c>
      <c r="C51" s="21"/>
      <c r="D51" s="21"/>
      <c r="E51" s="22">
        <f>Table6136147158169180191[[#This Row],[Projected Cost]]-Table6136147158169180191[[#This Row],[Actual Cost]]</f>
        <v>0</v>
      </c>
      <c r="F51" s="26"/>
      <c r="G51" s="18" t="s">
        <v>57</v>
      </c>
      <c r="H51" s="21">
        <f>SUBTOTAL(109,Table11137148159170181192[Projected Cost])</f>
        <v>0</v>
      </c>
      <c r="I51" s="21">
        <f>SUBTOTAL(109,Table11137148159170181192[Actual Cost])</f>
        <v>0</v>
      </c>
      <c r="J51" s="24">
        <f>SUBTOTAL(109,Table11137148159170181192[Difference])</f>
        <v>0</v>
      </c>
    </row>
    <row r="52" spans="1:10" ht="15.75" customHeight="1" x14ac:dyDescent="0.2">
      <c r="A52" s="2"/>
      <c r="B52" s="25" t="s">
        <v>21</v>
      </c>
      <c r="C52" s="21"/>
      <c r="D52" s="21"/>
      <c r="E52" s="22">
        <f>Table6136147158169180191[[#This Row],[Projected Cost]]-Table6136147158169180191[[#This Row],[Actual Cost]]</f>
        <v>0</v>
      </c>
      <c r="F52" s="26"/>
      <c r="G52" s="31"/>
      <c r="H52" s="31"/>
      <c r="I52" s="31"/>
      <c r="J52" s="31"/>
    </row>
    <row r="53" spans="1:10" ht="15.75" customHeight="1" x14ac:dyDescent="0.2">
      <c r="A53" s="2"/>
      <c r="B53" s="25" t="s">
        <v>19</v>
      </c>
      <c r="C53" s="21"/>
      <c r="D53" s="21"/>
      <c r="E53" s="22">
        <f>Table6136147158169180191[[#This Row],[Projected Cost]]-Table6136147158169180191[[#This Row],[Actual Cost]]</f>
        <v>0</v>
      </c>
      <c r="F53" s="26"/>
      <c r="G53" s="34" t="s">
        <v>54</v>
      </c>
      <c r="H53" s="34"/>
      <c r="I53" s="34"/>
      <c r="J53" s="35">
        <f>SUM(C24,C34,C41,C47,C55,C65,H23,H32,H39,H45,H51)</f>
        <v>0</v>
      </c>
    </row>
    <row r="54" spans="1:10" ht="15.75" customHeight="1" x14ac:dyDescent="0.2">
      <c r="A54" s="2"/>
      <c r="B54" s="25" t="s">
        <v>10</v>
      </c>
      <c r="C54" s="21"/>
      <c r="D54" s="21"/>
      <c r="E54" s="22">
        <f>Table6136147158169180191[[#This Row],[Projected Cost]]-Table6136147158169180191[[#This Row],[Actual Cost]]</f>
        <v>0</v>
      </c>
      <c r="F54" s="26"/>
      <c r="G54" s="34"/>
      <c r="H54" s="34"/>
      <c r="I54" s="34"/>
      <c r="J54" s="35"/>
    </row>
    <row r="55" spans="1:10" ht="15.75" customHeight="1" x14ac:dyDescent="0.2">
      <c r="A55" s="2"/>
      <c r="B55" s="18" t="s">
        <v>57</v>
      </c>
      <c r="C55" s="21">
        <f>SUBTOTAL(109,Table6136147158169180191[Projected Cost])</f>
        <v>0</v>
      </c>
      <c r="D55" s="21">
        <f>SUBTOTAL(109,Table6136147158169180191[Actual Cost])</f>
        <v>0</v>
      </c>
      <c r="E55" s="24">
        <f>SUBTOTAL(109,Table6136147158169180191[Difference])</f>
        <v>0</v>
      </c>
      <c r="F55" s="26"/>
      <c r="G55" s="34" t="s">
        <v>55</v>
      </c>
      <c r="H55" s="34"/>
      <c r="I55" s="34"/>
      <c r="J55" s="35">
        <f>SUM(D24,D34,D41,D47,D55,D65,I23,I32,I39,I45,I51)</f>
        <v>0</v>
      </c>
    </row>
    <row r="56" spans="1:10" ht="15.75" customHeight="1" x14ac:dyDescent="0.2">
      <c r="A56" s="2"/>
      <c r="B56" s="31"/>
      <c r="C56" s="31"/>
      <c r="D56" s="31"/>
      <c r="E56" s="31"/>
      <c r="F56" s="26"/>
      <c r="G56" s="34"/>
      <c r="H56" s="34"/>
      <c r="I56" s="34"/>
      <c r="J56" s="35"/>
    </row>
    <row r="57" spans="1:10" ht="15.75" customHeight="1" x14ac:dyDescent="0.2">
      <c r="A57" s="2"/>
      <c r="B57" s="18" t="s">
        <v>51</v>
      </c>
      <c r="C57" s="19" t="s">
        <v>0</v>
      </c>
      <c r="D57" s="19" t="s">
        <v>1</v>
      </c>
      <c r="E57" s="20" t="s">
        <v>2</v>
      </c>
      <c r="F57" s="26"/>
      <c r="G57" s="34" t="s">
        <v>56</v>
      </c>
      <c r="H57" s="34"/>
      <c r="I57" s="34"/>
      <c r="J57" s="35">
        <f>SUM(E24,E34,E41,E47,E55,E65,J23,J32,J39,J45,J51)</f>
        <v>0</v>
      </c>
    </row>
    <row r="58" spans="1:10" ht="15.75" customHeight="1" x14ac:dyDescent="0.2">
      <c r="A58" s="2"/>
      <c r="B58" s="25" t="s">
        <v>20</v>
      </c>
      <c r="C58" s="21"/>
      <c r="D58" s="21"/>
      <c r="E58" s="22">
        <f>Table7143154165176187198[[#This Row],[Projected Cost]]-Table7143154165176187198[[#This Row],[Actual Cost]]</f>
        <v>0</v>
      </c>
      <c r="F58" s="26"/>
      <c r="G58" s="34"/>
      <c r="H58" s="34"/>
      <c r="I58" s="34"/>
      <c r="J58" s="35"/>
    </row>
    <row r="59" spans="1:10" ht="15.75" customHeight="1" x14ac:dyDescent="0.2">
      <c r="A59" s="2"/>
      <c r="B59" s="25" t="s">
        <v>23</v>
      </c>
      <c r="C59" s="21"/>
      <c r="D59" s="21"/>
      <c r="E59" s="22">
        <f>Table7143154165176187198[[#This Row],[Projected Cost]]-Table7143154165176187198[[#This Row],[Actual Cost]]</f>
        <v>0</v>
      </c>
      <c r="F59" s="14"/>
    </row>
    <row r="60" spans="1:10" ht="15.75" customHeight="1" x14ac:dyDescent="0.2">
      <c r="A60" s="2"/>
      <c r="B60" s="25" t="s">
        <v>22</v>
      </c>
      <c r="C60" s="21"/>
      <c r="D60" s="21"/>
      <c r="E60" s="22">
        <f>Table7143154165176187198[[#This Row],[Projected Cost]]-Table7143154165176187198[[#This Row],[Actual Cost]]</f>
        <v>0</v>
      </c>
      <c r="F60" s="14"/>
    </row>
    <row r="61" spans="1:10" ht="15.75" customHeight="1" x14ac:dyDescent="0.2">
      <c r="A61" s="2"/>
      <c r="B61" s="25" t="s">
        <v>28</v>
      </c>
      <c r="C61" s="21"/>
      <c r="D61" s="21"/>
      <c r="E61" s="22">
        <f>Table7143154165176187198[[#This Row],[Projected Cost]]-Table7143154165176187198[[#This Row],[Actual Cost]]</f>
        <v>0</v>
      </c>
      <c r="F61" s="14"/>
    </row>
    <row r="62" spans="1:10" ht="15.75" customHeight="1" x14ac:dyDescent="0.2">
      <c r="A62" s="2"/>
      <c r="B62" s="25" t="s">
        <v>65</v>
      </c>
      <c r="C62" s="21"/>
      <c r="D62" s="21"/>
      <c r="E62" s="22">
        <f>Table7143154165176187198[[#This Row],[Projected Cost]]-Table7143154165176187198[[#This Row],[Actual Cost]]</f>
        <v>0</v>
      </c>
      <c r="F62" s="14"/>
    </row>
    <row r="63" spans="1:10" ht="15.75" customHeight="1" x14ac:dyDescent="0.2">
      <c r="A63" s="2"/>
      <c r="B63" s="25" t="s">
        <v>32</v>
      </c>
      <c r="C63" s="21"/>
      <c r="D63" s="21"/>
      <c r="E63" s="22">
        <f>Table7143154165176187198[[#This Row],[Projected Cost]]-Table7143154165176187198[[#This Row],[Actual Cost]]</f>
        <v>0</v>
      </c>
      <c r="F63" s="14"/>
    </row>
    <row r="64" spans="1:10" ht="15.75" customHeight="1" x14ac:dyDescent="0.2">
      <c r="A64" s="2"/>
      <c r="B64" s="25" t="s">
        <v>10</v>
      </c>
      <c r="C64" s="21"/>
      <c r="D64" s="21"/>
      <c r="E64" s="22">
        <f>Table7143154165176187198[[#This Row],[Projected Cost]]-Table7143154165176187198[[#This Row],[Actual Cost]]</f>
        <v>0</v>
      </c>
      <c r="F64" s="14"/>
    </row>
    <row r="65" spans="1:6" ht="15.75" customHeight="1" x14ac:dyDescent="0.2">
      <c r="A65" s="2"/>
      <c r="B65" s="18" t="s">
        <v>57</v>
      </c>
      <c r="C65" s="21">
        <f>SUBTOTAL(109,Table7143154165176187198[Projected Cost])</f>
        <v>0</v>
      </c>
      <c r="D65" s="21">
        <f>SUBTOTAL(109,Table7143154165176187198[Actual Cost])</f>
        <v>0</v>
      </c>
      <c r="E65" s="24">
        <f>SUBTOTAL(109,Table7143154165176187198[Difference])</f>
        <v>0</v>
      </c>
      <c r="F65" s="14"/>
    </row>
    <row r="66" spans="1:6" ht="15.75" customHeight="1" x14ac:dyDescent="0.2">
      <c r="B66" t="s">
        <v>70</v>
      </c>
    </row>
  </sheetData>
  <mergeCells count="32">
    <mergeCell ref="B2:J2"/>
    <mergeCell ref="B3:D3"/>
    <mergeCell ref="B4:B7"/>
    <mergeCell ref="C4:D4"/>
    <mergeCell ref="G4:I6"/>
    <mergeCell ref="J4:J6"/>
    <mergeCell ref="C5:D5"/>
    <mergeCell ref="C7:D7"/>
    <mergeCell ref="G7:I9"/>
    <mergeCell ref="J7:J9"/>
    <mergeCell ref="B42:E42"/>
    <mergeCell ref="B8:B11"/>
    <mergeCell ref="C8:D8"/>
    <mergeCell ref="C10:D10"/>
    <mergeCell ref="G10:I11"/>
    <mergeCell ref="G24:J24"/>
    <mergeCell ref="B25:E25"/>
    <mergeCell ref="G33:J33"/>
    <mergeCell ref="B35:E35"/>
    <mergeCell ref="G40:J40"/>
    <mergeCell ref="J10:J11"/>
    <mergeCell ref="C11:D11"/>
    <mergeCell ref="G57:I58"/>
    <mergeCell ref="J57:J58"/>
    <mergeCell ref="G46:J46"/>
    <mergeCell ref="B48:E48"/>
    <mergeCell ref="G52:J52"/>
    <mergeCell ref="G53:I54"/>
    <mergeCell ref="J53:J54"/>
    <mergeCell ref="G55:I56"/>
    <mergeCell ref="J55:J56"/>
    <mergeCell ref="B56:E56"/>
  </mergeCells>
  <conditionalFormatting sqref="E14:E24 E27:E34 E37:E41 E44:E47 E50:E55 E58:E65 J14:J23 J26:J32 J35:J39 J42:J45 J48:J51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D9C42-C942-4A35-B8F0-627CC3D92191}">
  <sheetPr>
    <pageSetUpPr autoPageBreaks="0" fitToPage="1"/>
  </sheetPr>
  <dimension ref="A1:J66"/>
  <sheetViews>
    <sheetView showGridLines="0" topLeftCell="A37" workbookViewId="0">
      <selection activeCell="J53" sqref="J53:J58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3" t="s">
        <v>34</v>
      </c>
      <c r="C2" s="33"/>
      <c r="D2" s="33"/>
      <c r="E2" s="33"/>
      <c r="F2" s="33"/>
      <c r="G2" s="33"/>
      <c r="H2" s="33"/>
      <c r="I2" s="33"/>
      <c r="J2" s="33"/>
    </row>
    <row r="3" spans="1:10" ht="8.1" customHeight="1" x14ac:dyDescent="0.2">
      <c r="A3" s="2"/>
      <c r="B3" s="43"/>
      <c r="C3" s="43"/>
      <c r="D3" s="43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40" t="s">
        <v>53</v>
      </c>
      <c r="C4" s="38" t="s">
        <v>68</v>
      </c>
      <c r="D4" s="39"/>
      <c r="E4" s="17">
        <v>0</v>
      </c>
      <c r="F4" s="5"/>
      <c r="G4" s="44" t="s">
        <v>58</v>
      </c>
      <c r="H4" s="45"/>
      <c r="I4" s="46"/>
      <c r="J4" s="53">
        <f>E7-J53</f>
        <v>0</v>
      </c>
    </row>
    <row r="5" spans="1:10" ht="15.95" customHeight="1" x14ac:dyDescent="0.2">
      <c r="A5" s="2"/>
      <c r="B5" s="41"/>
      <c r="C5" s="38" t="s">
        <v>69</v>
      </c>
      <c r="D5" s="39"/>
      <c r="E5" s="17">
        <v>0</v>
      </c>
      <c r="F5" s="5"/>
      <c r="G5" s="47"/>
      <c r="H5" s="48"/>
      <c r="I5" s="49"/>
      <c r="J5" s="54"/>
    </row>
    <row r="6" spans="1:10" ht="15.95" customHeight="1" x14ac:dyDescent="0.2">
      <c r="A6" s="2"/>
      <c r="B6" s="41"/>
      <c r="C6" s="27" t="s">
        <v>10</v>
      </c>
      <c r="D6" s="28"/>
      <c r="E6" s="17">
        <v>0</v>
      </c>
      <c r="F6" s="5"/>
      <c r="G6" s="50"/>
      <c r="H6" s="51"/>
      <c r="I6" s="52"/>
      <c r="J6" s="55"/>
    </row>
    <row r="7" spans="1:10" ht="15.95" customHeight="1" x14ac:dyDescent="0.2">
      <c r="A7" s="2"/>
      <c r="B7" s="42"/>
      <c r="C7" s="36" t="s">
        <v>35</v>
      </c>
      <c r="D7" s="37"/>
      <c r="E7" s="30">
        <f>SUM(E4:E6)</f>
        <v>0</v>
      </c>
      <c r="F7" s="5"/>
      <c r="G7" s="44" t="s">
        <v>59</v>
      </c>
      <c r="H7" s="45"/>
      <c r="I7" s="46"/>
      <c r="J7" s="53">
        <f>E11-J55</f>
        <v>0</v>
      </c>
    </row>
    <row r="8" spans="1:10" ht="15.95" customHeight="1" x14ac:dyDescent="0.2">
      <c r="A8" s="2"/>
      <c r="B8" s="40" t="s">
        <v>52</v>
      </c>
      <c r="C8" s="38" t="s">
        <v>68</v>
      </c>
      <c r="D8" s="39"/>
      <c r="E8" s="17">
        <v>0</v>
      </c>
      <c r="F8" s="5"/>
      <c r="G8" s="47"/>
      <c r="H8" s="48"/>
      <c r="I8" s="49"/>
      <c r="J8" s="54"/>
    </row>
    <row r="9" spans="1:10" ht="15.95" customHeight="1" x14ac:dyDescent="0.2">
      <c r="A9" s="2"/>
      <c r="B9" s="41"/>
      <c r="C9" s="27" t="s">
        <v>69</v>
      </c>
      <c r="D9" s="28"/>
      <c r="E9" s="17">
        <v>0</v>
      </c>
      <c r="F9" s="5"/>
      <c r="G9" s="50"/>
      <c r="H9" s="51"/>
      <c r="I9" s="52"/>
      <c r="J9" s="55"/>
    </row>
    <row r="10" spans="1:10" ht="15.95" customHeight="1" x14ac:dyDescent="0.2">
      <c r="A10" s="2"/>
      <c r="B10" s="41"/>
      <c r="C10" s="38" t="s">
        <v>10</v>
      </c>
      <c r="D10" s="39"/>
      <c r="E10" s="17">
        <v>0</v>
      </c>
      <c r="F10" s="5"/>
      <c r="G10" s="34" t="s">
        <v>60</v>
      </c>
      <c r="H10" s="34"/>
      <c r="I10" s="34"/>
      <c r="J10" s="35">
        <f>J7-J4</f>
        <v>0</v>
      </c>
    </row>
    <row r="11" spans="1:10" ht="15.95" customHeight="1" x14ac:dyDescent="0.2">
      <c r="A11" s="2"/>
      <c r="B11" s="42"/>
      <c r="C11" s="36" t="s">
        <v>35</v>
      </c>
      <c r="D11" s="37"/>
      <c r="E11" s="30">
        <f>SUM(E8:E10)</f>
        <v>0</v>
      </c>
      <c r="F11" s="5"/>
      <c r="G11" s="34"/>
      <c r="H11" s="34"/>
      <c r="I11" s="34"/>
      <c r="J11" s="35"/>
    </row>
    <row r="12" spans="1:10" ht="15.95" customHeight="1" x14ac:dyDescent="0.2">
      <c r="A12" s="2"/>
      <c r="B12" s="29"/>
      <c r="C12" s="29"/>
      <c r="D12" s="10"/>
      <c r="E12" s="11"/>
      <c r="F12" s="5"/>
      <c r="G12" s="12"/>
      <c r="H12" s="12"/>
      <c r="I12" s="12"/>
      <c r="J12" s="13"/>
    </row>
    <row r="13" spans="1:10" ht="15.95" customHeight="1" x14ac:dyDescent="0.2">
      <c r="A13" s="2"/>
      <c r="B13" s="18" t="s">
        <v>43</v>
      </c>
      <c r="C13" s="19" t="s">
        <v>0</v>
      </c>
      <c r="D13" s="19" t="s">
        <v>1</v>
      </c>
      <c r="E13" s="20" t="s">
        <v>2</v>
      </c>
      <c r="F13" s="16"/>
      <c r="G13" s="18" t="s">
        <v>44</v>
      </c>
      <c r="H13" s="19" t="s">
        <v>0</v>
      </c>
      <c r="I13" s="19" t="s">
        <v>1</v>
      </c>
      <c r="J13" s="20" t="s">
        <v>2</v>
      </c>
    </row>
    <row r="14" spans="1:10" ht="15.75" customHeight="1" x14ac:dyDescent="0.2">
      <c r="A14" s="2"/>
      <c r="B14" s="25" t="s">
        <v>62</v>
      </c>
      <c r="C14" s="21"/>
      <c r="D14" s="21"/>
      <c r="E14" s="22">
        <f>Table1134145156167178200211[[#This Row],[Projected Cost]]-Table1134145156167178200211[[#This Row],[Actual Cost]]</f>
        <v>0</v>
      </c>
      <c r="F14" s="26"/>
      <c r="G14" s="25" t="s">
        <v>66</v>
      </c>
      <c r="H14" s="21"/>
      <c r="I14" s="21"/>
      <c r="J14" s="22">
        <f>Table2144155166177188210221[[#This Row],[Projected Cost]]-Table2144155166177188210221[[#This Row],[Actual Cost]]</f>
        <v>0</v>
      </c>
    </row>
    <row r="15" spans="1:10" ht="15.75" customHeight="1" x14ac:dyDescent="0.2">
      <c r="A15" s="2"/>
      <c r="B15" s="25" t="s">
        <v>3</v>
      </c>
      <c r="C15" s="21"/>
      <c r="D15" s="21"/>
      <c r="E15" s="22">
        <f>Table1134145156167178200211[[#This Row],[Projected Cost]]-Table1134145156167178200211[[#This Row],[Actual Cost]]</f>
        <v>0</v>
      </c>
      <c r="F15" s="26"/>
      <c r="G15" s="25" t="s">
        <v>61</v>
      </c>
      <c r="H15" s="21"/>
      <c r="I15" s="21"/>
      <c r="J15" s="22">
        <f>Table2144155166177188210221[[#This Row],[Projected Cost]]-Table2144155166177188210221[[#This Row],[Actual Cost]]</f>
        <v>0</v>
      </c>
    </row>
    <row r="16" spans="1:10" ht="15.75" customHeight="1" x14ac:dyDescent="0.2">
      <c r="A16" s="2"/>
      <c r="B16" s="25" t="s">
        <v>37</v>
      </c>
      <c r="C16" s="21"/>
      <c r="D16" s="21"/>
      <c r="E16" s="22">
        <f>Table1134145156167178200211[[#This Row],[Projected Cost]]-Table1134145156167178200211[[#This Row],[Actual Cost]]</f>
        <v>0</v>
      </c>
      <c r="F16" s="26"/>
      <c r="G16" s="25" t="s">
        <v>25</v>
      </c>
      <c r="H16" s="21"/>
      <c r="I16" s="21"/>
      <c r="J16" s="22">
        <f>Table2144155166177188210221[[#This Row],[Projected Cost]]-Table2144155166177188210221[[#This Row],[Actual Cost]]</f>
        <v>0</v>
      </c>
    </row>
    <row r="17" spans="1:10" ht="15.75" customHeight="1" x14ac:dyDescent="0.2">
      <c r="A17" s="2"/>
      <c r="B17" s="25" t="s">
        <v>4</v>
      </c>
      <c r="C17" s="21"/>
      <c r="D17" s="21"/>
      <c r="E17" s="22">
        <f>Table1134145156167178200211[[#This Row],[Projected Cost]]-Table1134145156167178200211[[#This Row],[Actual Cost]]</f>
        <v>0</v>
      </c>
      <c r="F17" s="26"/>
      <c r="G17" s="25" t="s">
        <v>26</v>
      </c>
      <c r="H17" s="21"/>
      <c r="I17" s="21"/>
      <c r="J17" s="22">
        <f>Table2144155166177188210221[[#This Row],[Projected Cost]]-Table2144155166177188210221[[#This Row],[Actual Cost]]</f>
        <v>0</v>
      </c>
    </row>
    <row r="18" spans="1:10" ht="15.75" customHeight="1" x14ac:dyDescent="0.2">
      <c r="A18" s="2"/>
      <c r="B18" s="25" t="s">
        <v>5</v>
      </c>
      <c r="C18" s="21"/>
      <c r="D18" s="21"/>
      <c r="E18" s="22">
        <f>Table1134145156167178200211[[#This Row],[Projected Cost]]-Table1134145156167178200211[[#This Row],[Actual Cost]]</f>
        <v>0</v>
      </c>
      <c r="F18" s="26"/>
      <c r="G18" s="25" t="s">
        <v>39</v>
      </c>
      <c r="H18" s="21"/>
      <c r="I18" s="21"/>
      <c r="J18" s="22">
        <f>Table2144155166177188210221[[#This Row],[Projected Cost]]-Table2144155166177188210221[[#This Row],[Actual Cost]]</f>
        <v>0</v>
      </c>
    </row>
    <row r="19" spans="1:10" ht="15.75" customHeight="1" x14ac:dyDescent="0.2">
      <c r="A19" s="2"/>
      <c r="B19" s="25" t="s">
        <v>6</v>
      </c>
      <c r="C19" s="21"/>
      <c r="D19" s="21"/>
      <c r="E19" s="22">
        <f>Table1134145156167178200211[[#This Row],[Projected Cost]]-Table1134145156167178200211[[#This Row],[Actual Cost]]</f>
        <v>0</v>
      </c>
      <c r="F19" s="26"/>
      <c r="G19" s="25" t="s">
        <v>27</v>
      </c>
      <c r="H19" s="21"/>
      <c r="I19" s="21"/>
      <c r="J19" s="22">
        <f>Table2144155166177188210221[[#This Row],[Projected Cost]]-Table2144155166177188210221[[#This Row],[Actual Cost]]</f>
        <v>0</v>
      </c>
    </row>
    <row r="20" spans="1:10" ht="15.75" customHeight="1" x14ac:dyDescent="0.2">
      <c r="A20" s="2"/>
      <c r="B20" s="25" t="s">
        <v>7</v>
      </c>
      <c r="C20" s="21"/>
      <c r="D20" s="21"/>
      <c r="E20" s="22">
        <f>Table1134145156167178200211[[#This Row],[Projected Cost]]-Table1134145156167178200211[[#This Row],[Actual Cost]]</f>
        <v>0</v>
      </c>
      <c r="F20" s="26"/>
      <c r="G20" s="25" t="s">
        <v>10</v>
      </c>
      <c r="H20" s="21"/>
      <c r="I20" s="21"/>
      <c r="J20" s="22">
        <f>Table2144155166177188210221[[#This Row],[Projected Cost]]-Table2144155166177188210221[[#This Row],[Actual Cost]]</f>
        <v>0</v>
      </c>
    </row>
    <row r="21" spans="1:10" ht="15.75" customHeight="1" x14ac:dyDescent="0.2">
      <c r="A21" s="2"/>
      <c r="B21" s="25" t="s">
        <v>8</v>
      </c>
      <c r="C21" s="21"/>
      <c r="D21" s="21"/>
      <c r="E21" s="22">
        <f>Table1134145156167178200211[[#This Row],[Projected Cost]]-Table1134145156167178200211[[#This Row],[Actual Cost]]</f>
        <v>0</v>
      </c>
      <c r="F21" s="26"/>
      <c r="G21" s="25" t="s">
        <v>10</v>
      </c>
      <c r="H21" s="21"/>
      <c r="I21" s="21"/>
      <c r="J21" s="22">
        <f>Table2144155166177188210221[[#This Row],[Projected Cost]]-Table2144155166177188210221[[#This Row],[Actual Cost]]</f>
        <v>0</v>
      </c>
    </row>
    <row r="22" spans="1:10" ht="15.75" customHeight="1" x14ac:dyDescent="0.2">
      <c r="A22" s="2"/>
      <c r="B22" s="25" t="s">
        <v>9</v>
      </c>
      <c r="C22" s="21"/>
      <c r="D22" s="21"/>
      <c r="E22" s="22">
        <f>Table1134145156167178200211[[#This Row],[Projected Cost]]-Table1134145156167178200211[[#This Row],[Actual Cost]]</f>
        <v>0</v>
      </c>
      <c r="F22" s="26"/>
      <c r="G22" s="25" t="s">
        <v>10</v>
      </c>
      <c r="H22" s="21"/>
      <c r="I22" s="21"/>
      <c r="J22" s="22">
        <f>Table2144155166177188210221[[#This Row],[Projected Cost]]-Table2144155166177188210221[[#This Row],[Actual Cost]]</f>
        <v>0</v>
      </c>
    </row>
    <row r="23" spans="1:10" ht="15.75" customHeight="1" x14ac:dyDescent="0.2">
      <c r="A23" s="2"/>
      <c r="B23" s="25" t="s">
        <v>10</v>
      </c>
      <c r="C23" s="21"/>
      <c r="D23" s="21"/>
      <c r="E23" s="22">
        <f>Table1134145156167178200211[[#This Row],[Projected Cost]]-Table1134145156167178200211[[#This Row],[Actual Cost]]</f>
        <v>0</v>
      </c>
      <c r="F23" s="26"/>
      <c r="G23" s="18" t="s">
        <v>57</v>
      </c>
      <c r="H23" s="23">
        <f>SUBTOTAL(109,Table2144155166177188210221[Projected Cost])</f>
        <v>0</v>
      </c>
      <c r="I23" s="21">
        <f>SUBTOTAL(109,Table2144155166177188210221[Actual Cost])</f>
        <v>0</v>
      </c>
      <c r="J23" s="24">
        <f>SUBTOTAL(109,Table2144155166177188210221[Difference])</f>
        <v>0</v>
      </c>
    </row>
    <row r="24" spans="1:10" ht="15.75" customHeight="1" x14ac:dyDescent="0.2">
      <c r="A24" s="2"/>
      <c r="B24" s="18" t="s">
        <v>57</v>
      </c>
      <c r="C24" s="21">
        <f>SUBTOTAL(109,Table1134145156167178200211[Projected Cost])</f>
        <v>0</v>
      </c>
      <c r="D24" s="21">
        <f>SUBTOTAL(109,Table1134145156167178200211[Actual Cost])</f>
        <v>0</v>
      </c>
      <c r="E24" s="24">
        <f>SUBTOTAL(109,Table1134145156167178200211[Difference])</f>
        <v>0</v>
      </c>
      <c r="F24" s="26"/>
      <c r="G24" s="32"/>
      <c r="H24" s="32"/>
      <c r="I24" s="32"/>
      <c r="J24" s="32"/>
    </row>
    <row r="25" spans="1:10" ht="15.75" customHeight="1" x14ac:dyDescent="0.2">
      <c r="A25" s="2"/>
      <c r="B25" s="31"/>
      <c r="C25" s="31"/>
      <c r="D25" s="31"/>
      <c r="E25" s="31"/>
      <c r="F25" s="26"/>
      <c r="G25" s="18" t="s">
        <v>67</v>
      </c>
      <c r="H25" s="19" t="s">
        <v>0</v>
      </c>
      <c r="I25" s="19" t="s">
        <v>1</v>
      </c>
      <c r="J25" s="20" t="s">
        <v>2</v>
      </c>
    </row>
    <row r="26" spans="1:10" ht="15.75" customHeight="1" x14ac:dyDescent="0.2">
      <c r="A26" s="2"/>
      <c r="B26" s="18" t="s">
        <v>45</v>
      </c>
      <c r="C26" s="19" t="s">
        <v>0</v>
      </c>
      <c r="D26" s="19" t="s">
        <v>1</v>
      </c>
      <c r="E26" s="20" t="s">
        <v>2</v>
      </c>
      <c r="F26" s="26"/>
      <c r="G26" s="25" t="s">
        <v>29</v>
      </c>
      <c r="H26" s="21"/>
      <c r="I26" s="21"/>
      <c r="J26" s="22">
        <f>Table8141152163174185207218[[#This Row],[Projected Cost]]-Table8141152163174185207218[[#This Row],[Actual Cost]]</f>
        <v>0</v>
      </c>
    </row>
    <row r="27" spans="1:10" ht="15.75" customHeight="1" x14ac:dyDescent="0.2">
      <c r="A27" s="2"/>
      <c r="B27" s="25" t="s">
        <v>38</v>
      </c>
      <c r="C27" s="21"/>
      <c r="D27" s="21"/>
      <c r="E27" s="22">
        <f>Table3140151162173184206217[[#This Row],[Projected Cost]]-Table3140151162173184206217[[#This Row],[Actual Cost]]</f>
        <v>0</v>
      </c>
      <c r="F27" s="26"/>
      <c r="G27" s="25" t="s">
        <v>33</v>
      </c>
      <c r="H27" s="21"/>
      <c r="I27" s="21"/>
      <c r="J27" s="22">
        <f>Table8141152163174185207218[[#This Row],[Projected Cost]]-Table8141152163174185207218[[#This Row],[Actual Cost]]</f>
        <v>0</v>
      </c>
    </row>
    <row r="28" spans="1:10" ht="15.75" customHeight="1" x14ac:dyDescent="0.2">
      <c r="A28" s="2"/>
      <c r="B28" s="25" t="s">
        <v>63</v>
      </c>
      <c r="C28" s="21"/>
      <c r="D28" s="21"/>
      <c r="E28" s="22">
        <f>Table3140151162173184206217[[#This Row],[Projected Cost]]-Table3140151162173184206217[[#This Row],[Actual Cost]]</f>
        <v>0</v>
      </c>
      <c r="F28" s="26"/>
      <c r="G28" s="25" t="s">
        <v>40</v>
      </c>
      <c r="H28" s="21"/>
      <c r="I28" s="21"/>
      <c r="J28" s="22">
        <f>Table8141152163174185207218[[#This Row],[Projected Cost]]-Table8141152163174185207218[[#This Row],[Actual Cost]]</f>
        <v>0</v>
      </c>
    </row>
    <row r="29" spans="1:10" ht="15.75" customHeight="1" x14ac:dyDescent="0.2">
      <c r="A29" s="2"/>
      <c r="B29" s="25" t="s">
        <v>11</v>
      </c>
      <c r="C29" s="21"/>
      <c r="D29" s="21"/>
      <c r="E29" s="22">
        <f>Table3140151162173184206217[[#This Row],[Projected Cost]]-Table3140151162173184206217[[#This Row],[Actual Cost]]</f>
        <v>0</v>
      </c>
      <c r="F29" s="26"/>
      <c r="G29" s="25" t="s">
        <v>40</v>
      </c>
      <c r="H29" s="21"/>
      <c r="I29" s="21"/>
      <c r="J29" s="22">
        <f>Table8141152163174185207218[[#This Row],[Projected Cost]]-Table8141152163174185207218[[#This Row],[Actual Cost]]</f>
        <v>0</v>
      </c>
    </row>
    <row r="30" spans="1:10" ht="15.75" customHeight="1" x14ac:dyDescent="0.2">
      <c r="A30" s="2"/>
      <c r="B30" s="25" t="s">
        <v>12</v>
      </c>
      <c r="C30" s="21"/>
      <c r="D30" s="21"/>
      <c r="E30" s="22">
        <f>Table3140151162173184206217[[#This Row],[Projected Cost]]-Table3140151162173184206217[[#This Row],[Actual Cost]]</f>
        <v>0</v>
      </c>
      <c r="F30" s="26"/>
      <c r="G30" s="25" t="s">
        <v>40</v>
      </c>
      <c r="H30" s="21"/>
      <c r="I30" s="21"/>
      <c r="J30" s="22">
        <f>Table8141152163174185207218[[#This Row],[Projected Cost]]-Table8141152163174185207218[[#This Row],[Actual Cost]]</f>
        <v>0</v>
      </c>
    </row>
    <row r="31" spans="1:10" ht="15.75" customHeight="1" x14ac:dyDescent="0.2">
      <c r="A31" s="2"/>
      <c r="B31" s="25" t="s">
        <v>13</v>
      </c>
      <c r="C31" s="21"/>
      <c r="D31" s="21"/>
      <c r="E31" s="22">
        <f>Table3140151162173184206217[[#This Row],[Projected Cost]]-Table3140151162173184206217[[#This Row],[Actual Cost]]</f>
        <v>0</v>
      </c>
      <c r="F31" s="26"/>
      <c r="G31" s="25" t="s">
        <v>10</v>
      </c>
      <c r="H31" s="21"/>
      <c r="I31" s="21"/>
      <c r="J31" s="22">
        <f>Table8141152163174185207218[[#This Row],[Projected Cost]]-Table8141152163174185207218[[#This Row],[Actual Cost]]</f>
        <v>0</v>
      </c>
    </row>
    <row r="32" spans="1:10" ht="15.75" customHeight="1" x14ac:dyDescent="0.2">
      <c r="A32" s="2"/>
      <c r="B32" s="25" t="s">
        <v>14</v>
      </c>
      <c r="C32" s="21"/>
      <c r="D32" s="21"/>
      <c r="E32" s="22">
        <f>Table3140151162173184206217[[#This Row],[Projected Cost]]-Table3140151162173184206217[[#This Row],[Actual Cost]]</f>
        <v>0</v>
      </c>
      <c r="F32" s="26"/>
      <c r="G32" s="18" t="s">
        <v>57</v>
      </c>
      <c r="H32" s="21">
        <f>SUBTOTAL(109,Table8141152163174185207218[Projected Cost])</f>
        <v>0</v>
      </c>
      <c r="I32" s="21">
        <f>SUBTOTAL(109,Table8141152163174185207218[Actual Cost])</f>
        <v>0</v>
      </c>
      <c r="J32" s="24">
        <f>SUBTOTAL(109,Table8141152163174185207218[Difference])</f>
        <v>0</v>
      </c>
    </row>
    <row r="33" spans="1:10" ht="15.75" customHeight="1" x14ac:dyDescent="0.2">
      <c r="A33" s="2"/>
      <c r="B33" s="25" t="s">
        <v>10</v>
      </c>
      <c r="C33" s="21"/>
      <c r="D33" s="21"/>
      <c r="E33" s="22">
        <f>Table3140151162173184206217[[#This Row],[Projected Cost]]-Table3140151162173184206217[[#This Row],[Actual Cost]]</f>
        <v>0</v>
      </c>
      <c r="F33" s="26"/>
      <c r="G33" s="31"/>
      <c r="H33" s="31"/>
      <c r="I33" s="31"/>
      <c r="J33" s="31"/>
    </row>
    <row r="34" spans="1:10" ht="15.75" customHeight="1" x14ac:dyDescent="0.2">
      <c r="A34" s="2"/>
      <c r="B34" s="18" t="s">
        <v>57</v>
      </c>
      <c r="C34" s="21">
        <f>SUBTOTAL(109,Table3140151162173184206217[Projected Cost])</f>
        <v>0</v>
      </c>
      <c r="D34" s="21">
        <f>SUBTOTAL(109,Table3140151162173184206217[Actual Cost])</f>
        <v>0</v>
      </c>
      <c r="E34" s="24">
        <f>SUBTOTAL(109,Table3140151162173184206217[Difference])</f>
        <v>0</v>
      </c>
      <c r="F34" s="26"/>
      <c r="G34" s="18" t="s">
        <v>10</v>
      </c>
      <c r="H34" s="19" t="s">
        <v>0</v>
      </c>
      <c r="I34" s="19" t="s">
        <v>1</v>
      </c>
      <c r="J34" s="20" t="s">
        <v>2</v>
      </c>
    </row>
    <row r="35" spans="1:10" ht="15.75" customHeight="1" x14ac:dyDescent="0.2">
      <c r="A35" s="2"/>
      <c r="B35" s="31"/>
      <c r="C35" s="31"/>
      <c r="D35" s="31"/>
      <c r="E35" s="31"/>
      <c r="F35" s="26"/>
      <c r="G35" s="25" t="s">
        <v>10</v>
      </c>
      <c r="H35" s="21"/>
      <c r="I35" s="21"/>
      <c r="J35" s="22">
        <f>Table9139150161172183205216[[#This Row],[Projected Cost]]-Table9139150161172183205216[[#This Row],[Actual Cost]]</f>
        <v>0</v>
      </c>
    </row>
    <row r="36" spans="1:10" ht="15.75" customHeight="1" x14ac:dyDescent="0.2">
      <c r="A36" s="2"/>
      <c r="B36" s="18" t="s">
        <v>46</v>
      </c>
      <c r="C36" s="19" t="s">
        <v>0</v>
      </c>
      <c r="D36" s="19" t="s">
        <v>1</v>
      </c>
      <c r="E36" s="20" t="s">
        <v>2</v>
      </c>
      <c r="F36" s="26"/>
      <c r="G36" s="25" t="s">
        <v>10</v>
      </c>
      <c r="H36" s="21"/>
      <c r="I36" s="21"/>
      <c r="J36" s="22">
        <f>Table9139150161172183205216[[#This Row],[Projected Cost]]-Table9139150161172183205216[[#This Row],[Actual Cost]]</f>
        <v>0</v>
      </c>
    </row>
    <row r="37" spans="1:10" ht="15.75" customHeight="1" x14ac:dyDescent="0.2">
      <c r="A37" s="2"/>
      <c r="B37" s="25" t="s">
        <v>64</v>
      </c>
      <c r="C37" s="21"/>
      <c r="D37" s="21"/>
      <c r="E37" s="22">
        <f>Table4135146157168179201212[[#This Row],[Projected Cost]]-Table4135146157168179201212[[#This Row],[Actual Cost]]</f>
        <v>0</v>
      </c>
      <c r="F37" s="26"/>
      <c r="G37" s="25" t="s">
        <v>10</v>
      </c>
      <c r="H37" s="21"/>
      <c r="I37" s="21"/>
      <c r="J37" s="22">
        <f>Table9139150161172183205216[[#This Row],[Projected Cost]]-Table9139150161172183205216[[#This Row],[Actual Cost]]</f>
        <v>0</v>
      </c>
    </row>
    <row r="38" spans="1:10" ht="15.75" customHeight="1" x14ac:dyDescent="0.2">
      <c r="A38" s="2"/>
      <c r="B38" s="25" t="s">
        <v>15</v>
      </c>
      <c r="C38" s="21"/>
      <c r="D38" s="21"/>
      <c r="E38" s="22">
        <f>Table4135146157168179201212[[#This Row],[Projected Cost]]-Table4135146157168179201212[[#This Row],[Actual Cost]]</f>
        <v>0</v>
      </c>
      <c r="F38" s="26"/>
      <c r="G38" s="25" t="s">
        <v>10</v>
      </c>
      <c r="H38" s="21"/>
      <c r="I38" s="21"/>
      <c r="J38" s="22">
        <f>Table9139150161172183205216[[#This Row],[Projected Cost]]-Table9139150161172183205216[[#This Row],[Actual Cost]]</f>
        <v>0</v>
      </c>
    </row>
    <row r="39" spans="1:10" ht="15.75" customHeight="1" x14ac:dyDescent="0.2">
      <c r="A39" s="2"/>
      <c r="B39" s="25" t="s">
        <v>16</v>
      </c>
      <c r="C39" s="21"/>
      <c r="D39" s="21"/>
      <c r="E39" s="22">
        <f>Table4135146157168179201212[[#This Row],[Projected Cost]]-Table4135146157168179201212[[#This Row],[Actual Cost]]</f>
        <v>0</v>
      </c>
      <c r="F39" s="26"/>
      <c r="G39" s="18" t="s">
        <v>57</v>
      </c>
      <c r="H39" s="21">
        <f>SUBTOTAL(109,Table9139150161172183205216[Projected Cost])</f>
        <v>0</v>
      </c>
      <c r="I39" s="21">
        <f>SUBTOTAL(109,Table9139150161172183205216[Actual Cost])</f>
        <v>0</v>
      </c>
      <c r="J39" s="24">
        <f>SUBTOTAL(109,Table9139150161172183205216[Difference])</f>
        <v>0</v>
      </c>
    </row>
    <row r="40" spans="1:10" ht="15.75" customHeight="1" x14ac:dyDescent="0.2">
      <c r="A40" s="2"/>
      <c r="B40" s="25" t="s">
        <v>10</v>
      </c>
      <c r="C40" s="21"/>
      <c r="D40" s="21"/>
      <c r="E40" s="22">
        <f>Table4135146157168179201212[[#This Row],[Projected Cost]]-Table4135146157168179201212[[#This Row],[Actual Cost]]</f>
        <v>0</v>
      </c>
      <c r="F40" s="26"/>
      <c r="G40" s="31"/>
      <c r="H40" s="31"/>
      <c r="I40" s="31"/>
      <c r="J40" s="31"/>
    </row>
    <row r="41" spans="1:10" ht="15.75" customHeight="1" x14ac:dyDescent="0.2">
      <c r="A41" s="2"/>
      <c r="B41" s="18" t="s">
        <v>57</v>
      </c>
      <c r="C41" s="21">
        <f>SUBTOTAL(109,Table4135146157168179201212[Projected Cost])</f>
        <v>0</v>
      </c>
      <c r="D41" s="21">
        <f>SUBTOTAL(109,Table4135146157168179201212[Actual Cost])</f>
        <v>0</v>
      </c>
      <c r="E41" s="24">
        <f>SUBTOTAL(109,Table4135146157168179201212[Difference])</f>
        <v>0</v>
      </c>
      <c r="F41" s="26"/>
      <c r="G41" s="18" t="s">
        <v>48</v>
      </c>
      <c r="H41" s="19" t="s">
        <v>0</v>
      </c>
      <c r="I41" s="19" t="s">
        <v>1</v>
      </c>
      <c r="J41" s="20" t="s">
        <v>2</v>
      </c>
    </row>
    <row r="42" spans="1:10" ht="15.75" customHeight="1" x14ac:dyDescent="0.2">
      <c r="A42" s="2"/>
      <c r="B42" s="31"/>
      <c r="C42" s="31"/>
      <c r="D42" s="31"/>
      <c r="E42" s="31"/>
      <c r="F42" s="26"/>
      <c r="G42" s="25" t="s">
        <v>41</v>
      </c>
      <c r="H42" s="21"/>
      <c r="I42" s="21"/>
      <c r="J42" s="22">
        <f>Table10142153164175186208219[[#This Row],[Projected Cost]]-Table10142153164175186208219[[#This Row],[Actual Cost]]</f>
        <v>0</v>
      </c>
    </row>
    <row r="43" spans="1:10" ht="15.75" customHeight="1" x14ac:dyDescent="0.2">
      <c r="A43" s="2"/>
      <c r="B43" s="18" t="s">
        <v>47</v>
      </c>
      <c r="C43" s="19" t="s">
        <v>0</v>
      </c>
      <c r="D43" s="19" t="s">
        <v>1</v>
      </c>
      <c r="E43" s="20" t="s">
        <v>2</v>
      </c>
      <c r="F43" s="26"/>
      <c r="G43" s="25" t="s">
        <v>42</v>
      </c>
      <c r="H43" s="21"/>
      <c r="I43" s="21"/>
      <c r="J43" s="22">
        <f>Table10142153164175186208219[[#This Row],[Projected Cost]]-Table10142153164175186208219[[#This Row],[Actual Cost]]</f>
        <v>0</v>
      </c>
    </row>
    <row r="44" spans="1:10" ht="15.75" customHeight="1" x14ac:dyDescent="0.2">
      <c r="A44" s="2"/>
      <c r="B44" s="25" t="s">
        <v>17</v>
      </c>
      <c r="C44" s="21"/>
      <c r="D44" s="21"/>
      <c r="E44" s="22">
        <f>Table5138149160171182204215[[#This Row],[Projected Cost]]-Table5138149160171182204215[[#This Row],[Actual Cost]]</f>
        <v>0</v>
      </c>
      <c r="F44" s="26"/>
      <c r="G44" s="25" t="s">
        <v>10</v>
      </c>
      <c r="H44" s="21"/>
      <c r="I44" s="21"/>
      <c r="J44" s="22">
        <f>Table10142153164175186208219[[#This Row],[Projected Cost]]-Table10142153164175186208219[[#This Row],[Actual Cost]]</f>
        <v>0</v>
      </c>
    </row>
    <row r="45" spans="1:10" ht="15.75" customHeight="1" x14ac:dyDescent="0.2">
      <c r="A45" s="2"/>
      <c r="B45" s="25" t="s">
        <v>24</v>
      </c>
      <c r="C45" s="21"/>
      <c r="D45" s="21"/>
      <c r="E45" s="22">
        <f>Table5138149160171182204215[[#This Row],[Projected Cost]]-Table5138149160171182204215[[#This Row],[Actual Cost]]</f>
        <v>0</v>
      </c>
      <c r="F45" s="26"/>
      <c r="G45" s="18" t="s">
        <v>57</v>
      </c>
      <c r="H45" s="21">
        <f>SUBTOTAL(109,Table10142153164175186208219[Projected Cost])</f>
        <v>0</v>
      </c>
      <c r="I45" s="21">
        <f>SUBTOTAL(109,Table10142153164175186208219[Actual Cost])</f>
        <v>0</v>
      </c>
      <c r="J45" s="24">
        <f>SUBTOTAL(109,Table10142153164175186208219[Difference])</f>
        <v>0</v>
      </c>
    </row>
    <row r="46" spans="1:10" ht="15.75" customHeight="1" x14ac:dyDescent="0.2">
      <c r="A46" s="2"/>
      <c r="B46" s="25" t="s">
        <v>10</v>
      </c>
      <c r="C46" s="21"/>
      <c r="D46" s="21"/>
      <c r="E46" s="22">
        <f>Table5138149160171182204215[[#This Row],[Projected Cost]]-Table5138149160171182204215[[#This Row],[Actual Cost]]</f>
        <v>0</v>
      </c>
      <c r="F46" s="26"/>
      <c r="G46" s="31"/>
      <c r="H46" s="31"/>
      <c r="I46" s="31"/>
      <c r="J46" s="31"/>
    </row>
    <row r="47" spans="1:10" ht="15.75" customHeight="1" x14ac:dyDescent="0.2">
      <c r="A47" s="2"/>
      <c r="B47" s="18" t="s">
        <v>57</v>
      </c>
      <c r="C47" s="21">
        <f>SUBTOTAL(109,Table5138149160171182204215[Projected Cost])</f>
        <v>0</v>
      </c>
      <c r="D47" s="21">
        <f>SUBTOTAL(109,Table5138149160171182204215[Actual Cost])</f>
        <v>0</v>
      </c>
      <c r="E47" s="24">
        <f>SUBTOTAL(109,Table5138149160171182204215[Difference])</f>
        <v>0</v>
      </c>
      <c r="F47" s="26"/>
      <c r="G47" s="18" t="s">
        <v>49</v>
      </c>
      <c r="H47" s="19" t="s">
        <v>0</v>
      </c>
      <c r="I47" s="19" t="s">
        <v>1</v>
      </c>
      <c r="J47" s="20" t="s">
        <v>2</v>
      </c>
    </row>
    <row r="48" spans="1:10" ht="15.75" customHeight="1" x14ac:dyDescent="0.2">
      <c r="A48" s="2"/>
      <c r="B48" s="31"/>
      <c r="C48" s="31"/>
      <c r="D48" s="31"/>
      <c r="E48" s="31"/>
      <c r="F48" s="26"/>
      <c r="G48" s="25" t="s">
        <v>30</v>
      </c>
      <c r="H48" s="21"/>
      <c r="I48" s="21"/>
      <c r="J48" s="22">
        <f>Table11137148159170181203214[[#This Row],[Projected Cost]]-Table11137148159170181203214[[#This Row],[Actual Cost]]</f>
        <v>0</v>
      </c>
    </row>
    <row r="49" spans="1:10" ht="15.75" customHeight="1" x14ac:dyDescent="0.2">
      <c r="A49" s="2"/>
      <c r="B49" s="18" t="s">
        <v>50</v>
      </c>
      <c r="C49" s="19" t="s">
        <v>0</v>
      </c>
      <c r="D49" s="19" t="s">
        <v>1</v>
      </c>
      <c r="E49" s="20" t="s">
        <v>2</v>
      </c>
      <c r="F49" s="26"/>
      <c r="G49" s="25" t="s">
        <v>31</v>
      </c>
      <c r="H49" s="21"/>
      <c r="I49" s="21"/>
      <c r="J49" s="22">
        <f>Table11137148159170181203214[[#This Row],[Projected Cost]]-Table11137148159170181203214[[#This Row],[Actual Cost]]</f>
        <v>0</v>
      </c>
    </row>
    <row r="50" spans="1:10" ht="15.75" customHeight="1" x14ac:dyDescent="0.2">
      <c r="A50" s="2"/>
      <c r="B50" s="25" t="s">
        <v>18</v>
      </c>
      <c r="C50" s="21"/>
      <c r="D50" s="21"/>
      <c r="E50" s="22">
        <f>Table6136147158169180202213[[#This Row],[Projected Cost]]-Table6136147158169180202213[[#This Row],[Actual Cost]]</f>
        <v>0</v>
      </c>
      <c r="F50" s="26"/>
      <c r="G50" s="25" t="s">
        <v>36</v>
      </c>
      <c r="H50" s="21"/>
      <c r="I50" s="21"/>
      <c r="J50" s="22">
        <f>Table11137148159170181203214[[#This Row],[Projected Cost]]-Table11137148159170181203214[[#This Row],[Actual Cost]]</f>
        <v>0</v>
      </c>
    </row>
    <row r="51" spans="1:10" ht="15.75" customHeight="1" x14ac:dyDescent="0.2">
      <c r="A51" s="2"/>
      <c r="B51" s="25" t="s">
        <v>20</v>
      </c>
      <c r="C51" s="21"/>
      <c r="D51" s="21"/>
      <c r="E51" s="22">
        <f>Table6136147158169180202213[[#This Row],[Projected Cost]]-Table6136147158169180202213[[#This Row],[Actual Cost]]</f>
        <v>0</v>
      </c>
      <c r="F51" s="26"/>
      <c r="G51" s="18" t="s">
        <v>57</v>
      </c>
      <c r="H51" s="21">
        <f>SUBTOTAL(109,Table11137148159170181203214[Projected Cost])</f>
        <v>0</v>
      </c>
      <c r="I51" s="21">
        <f>SUBTOTAL(109,Table11137148159170181203214[Actual Cost])</f>
        <v>0</v>
      </c>
      <c r="J51" s="24">
        <f>SUBTOTAL(109,Table11137148159170181203214[Difference])</f>
        <v>0</v>
      </c>
    </row>
    <row r="52" spans="1:10" ht="15.75" customHeight="1" x14ac:dyDescent="0.2">
      <c r="A52" s="2"/>
      <c r="B52" s="25" t="s">
        <v>21</v>
      </c>
      <c r="C52" s="21"/>
      <c r="D52" s="21"/>
      <c r="E52" s="22">
        <f>Table6136147158169180202213[[#This Row],[Projected Cost]]-Table6136147158169180202213[[#This Row],[Actual Cost]]</f>
        <v>0</v>
      </c>
      <c r="F52" s="26"/>
      <c r="G52" s="31"/>
      <c r="H52" s="31"/>
      <c r="I52" s="31"/>
      <c r="J52" s="31"/>
    </row>
    <row r="53" spans="1:10" ht="15.75" customHeight="1" x14ac:dyDescent="0.2">
      <c r="A53" s="2"/>
      <c r="B53" s="25" t="s">
        <v>19</v>
      </c>
      <c r="C53" s="21"/>
      <c r="D53" s="21"/>
      <c r="E53" s="22">
        <f>Table6136147158169180202213[[#This Row],[Projected Cost]]-Table6136147158169180202213[[#This Row],[Actual Cost]]</f>
        <v>0</v>
      </c>
      <c r="F53" s="26"/>
      <c r="G53" s="34" t="s">
        <v>54</v>
      </c>
      <c r="H53" s="34"/>
      <c r="I53" s="34"/>
      <c r="J53" s="35">
        <f>SUM(C24,C34,C41,C47,C55,C65,H23,H32,H39,H45,H51)</f>
        <v>0</v>
      </c>
    </row>
    <row r="54" spans="1:10" ht="15.75" customHeight="1" x14ac:dyDescent="0.2">
      <c r="A54" s="2"/>
      <c r="B54" s="25" t="s">
        <v>10</v>
      </c>
      <c r="C54" s="21"/>
      <c r="D54" s="21"/>
      <c r="E54" s="22">
        <f>Table6136147158169180202213[[#This Row],[Projected Cost]]-Table6136147158169180202213[[#This Row],[Actual Cost]]</f>
        <v>0</v>
      </c>
      <c r="F54" s="26"/>
      <c r="G54" s="34"/>
      <c r="H54" s="34"/>
      <c r="I54" s="34"/>
      <c r="J54" s="35"/>
    </row>
    <row r="55" spans="1:10" ht="15.75" customHeight="1" x14ac:dyDescent="0.2">
      <c r="A55" s="2"/>
      <c r="B55" s="18" t="s">
        <v>57</v>
      </c>
      <c r="C55" s="21">
        <f>SUBTOTAL(109,Table6136147158169180202213[Projected Cost])</f>
        <v>0</v>
      </c>
      <c r="D55" s="21">
        <f>SUBTOTAL(109,Table6136147158169180202213[Actual Cost])</f>
        <v>0</v>
      </c>
      <c r="E55" s="24">
        <f>SUBTOTAL(109,Table6136147158169180202213[Difference])</f>
        <v>0</v>
      </c>
      <c r="F55" s="26"/>
      <c r="G55" s="34" t="s">
        <v>55</v>
      </c>
      <c r="H55" s="34"/>
      <c r="I55" s="34"/>
      <c r="J55" s="35">
        <f>SUM(D24,D34,D41,D47,D55,D65,I23,I32,I39,I45,I51)</f>
        <v>0</v>
      </c>
    </row>
    <row r="56" spans="1:10" ht="15.75" customHeight="1" x14ac:dyDescent="0.2">
      <c r="A56" s="2"/>
      <c r="B56" s="31"/>
      <c r="C56" s="31"/>
      <c r="D56" s="31"/>
      <c r="E56" s="31"/>
      <c r="F56" s="26"/>
      <c r="G56" s="34"/>
      <c r="H56" s="34"/>
      <c r="I56" s="34"/>
      <c r="J56" s="35"/>
    </row>
    <row r="57" spans="1:10" ht="15.75" customHeight="1" x14ac:dyDescent="0.2">
      <c r="A57" s="2"/>
      <c r="B57" s="18" t="s">
        <v>51</v>
      </c>
      <c r="C57" s="19" t="s">
        <v>0</v>
      </c>
      <c r="D57" s="19" t="s">
        <v>1</v>
      </c>
      <c r="E57" s="20" t="s">
        <v>2</v>
      </c>
      <c r="F57" s="26"/>
      <c r="G57" s="34" t="s">
        <v>56</v>
      </c>
      <c r="H57" s="34"/>
      <c r="I57" s="34"/>
      <c r="J57" s="35">
        <f>SUM(E24,E34,E41,E47,E55,E65,J23,J32,J39,J45,J51)</f>
        <v>0</v>
      </c>
    </row>
    <row r="58" spans="1:10" ht="15.75" customHeight="1" x14ac:dyDescent="0.2">
      <c r="A58" s="2"/>
      <c r="B58" s="25" t="s">
        <v>20</v>
      </c>
      <c r="C58" s="21"/>
      <c r="D58" s="21"/>
      <c r="E58" s="22">
        <f>Table7143154165176187209220[[#This Row],[Projected Cost]]-Table7143154165176187209220[[#This Row],[Actual Cost]]</f>
        <v>0</v>
      </c>
      <c r="F58" s="26"/>
      <c r="G58" s="34"/>
      <c r="H58" s="34"/>
      <c r="I58" s="34"/>
      <c r="J58" s="35"/>
    </row>
    <row r="59" spans="1:10" ht="15.75" customHeight="1" x14ac:dyDescent="0.2">
      <c r="A59" s="2"/>
      <c r="B59" s="25" t="s">
        <v>23</v>
      </c>
      <c r="C59" s="21"/>
      <c r="D59" s="21"/>
      <c r="E59" s="22">
        <f>Table7143154165176187209220[[#This Row],[Projected Cost]]-Table7143154165176187209220[[#This Row],[Actual Cost]]</f>
        <v>0</v>
      </c>
      <c r="F59" s="14"/>
    </row>
    <row r="60" spans="1:10" ht="15.75" customHeight="1" x14ac:dyDescent="0.2">
      <c r="A60" s="2"/>
      <c r="B60" s="25" t="s">
        <v>22</v>
      </c>
      <c r="C60" s="21"/>
      <c r="D60" s="21"/>
      <c r="E60" s="22">
        <f>Table7143154165176187209220[[#This Row],[Projected Cost]]-Table7143154165176187209220[[#This Row],[Actual Cost]]</f>
        <v>0</v>
      </c>
      <c r="F60" s="14"/>
    </row>
    <row r="61" spans="1:10" ht="15.75" customHeight="1" x14ac:dyDescent="0.2">
      <c r="A61" s="2"/>
      <c r="B61" s="25" t="s">
        <v>28</v>
      </c>
      <c r="C61" s="21"/>
      <c r="D61" s="21"/>
      <c r="E61" s="22">
        <f>Table7143154165176187209220[[#This Row],[Projected Cost]]-Table7143154165176187209220[[#This Row],[Actual Cost]]</f>
        <v>0</v>
      </c>
      <c r="F61" s="14"/>
    </row>
    <row r="62" spans="1:10" ht="15.75" customHeight="1" x14ac:dyDescent="0.2">
      <c r="A62" s="2"/>
      <c r="B62" s="25" t="s">
        <v>65</v>
      </c>
      <c r="C62" s="21"/>
      <c r="D62" s="21"/>
      <c r="E62" s="22">
        <f>Table7143154165176187209220[[#This Row],[Projected Cost]]-Table7143154165176187209220[[#This Row],[Actual Cost]]</f>
        <v>0</v>
      </c>
      <c r="F62" s="14"/>
    </row>
    <row r="63" spans="1:10" ht="15.75" customHeight="1" x14ac:dyDescent="0.2">
      <c r="A63" s="2"/>
      <c r="B63" s="25" t="s">
        <v>32</v>
      </c>
      <c r="C63" s="21"/>
      <c r="D63" s="21"/>
      <c r="E63" s="22">
        <f>Table7143154165176187209220[[#This Row],[Projected Cost]]-Table7143154165176187209220[[#This Row],[Actual Cost]]</f>
        <v>0</v>
      </c>
      <c r="F63" s="14"/>
    </row>
    <row r="64" spans="1:10" ht="15.75" customHeight="1" x14ac:dyDescent="0.2">
      <c r="A64" s="2"/>
      <c r="B64" s="25" t="s">
        <v>10</v>
      </c>
      <c r="C64" s="21"/>
      <c r="D64" s="21"/>
      <c r="E64" s="22">
        <f>Table7143154165176187209220[[#This Row],[Projected Cost]]-Table7143154165176187209220[[#This Row],[Actual Cost]]</f>
        <v>0</v>
      </c>
      <c r="F64" s="14"/>
    </row>
    <row r="65" spans="1:6" ht="15.75" customHeight="1" x14ac:dyDescent="0.2">
      <c r="A65" s="2"/>
      <c r="B65" s="18" t="s">
        <v>57</v>
      </c>
      <c r="C65" s="21">
        <f>SUBTOTAL(109,Table7143154165176187209220[Projected Cost])</f>
        <v>0</v>
      </c>
      <c r="D65" s="21">
        <f>SUBTOTAL(109,Table7143154165176187209220[Actual Cost])</f>
        <v>0</v>
      </c>
      <c r="E65" s="24">
        <f>SUBTOTAL(109,Table7143154165176187209220[Difference])</f>
        <v>0</v>
      </c>
      <c r="F65" s="14"/>
    </row>
    <row r="66" spans="1:6" ht="15.75" customHeight="1" x14ac:dyDescent="0.2">
      <c r="B66" t="s">
        <v>70</v>
      </c>
    </row>
  </sheetData>
  <mergeCells count="32">
    <mergeCell ref="B2:J2"/>
    <mergeCell ref="B3:D3"/>
    <mergeCell ref="B4:B7"/>
    <mergeCell ref="C4:D4"/>
    <mergeCell ref="G4:I6"/>
    <mergeCell ref="J4:J6"/>
    <mergeCell ref="C5:D5"/>
    <mergeCell ref="C7:D7"/>
    <mergeCell ref="G7:I9"/>
    <mergeCell ref="J7:J9"/>
    <mergeCell ref="B42:E42"/>
    <mergeCell ref="B8:B11"/>
    <mergeCell ref="C8:D8"/>
    <mergeCell ref="C10:D10"/>
    <mergeCell ref="G10:I11"/>
    <mergeCell ref="G24:J24"/>
    <mergeCell ref="B25:E25"/>
    <mergeCell ref="G33:J33"/>
    <mergeCell ref="B35:E35"/>
    <mergeCell ref="G40:J40"/>
    <mergeCell ref="J10:J11"/>
    <mergeCell ref="C11:D11"/>
    <mergeCell ref="G57:I58"/>
    <mergeCell ref="J57:J58"/>
    <mergeCell ref="G46:J46"/>
    <mergeCell ref="B48:E48"/>
    <mergeCell ref="G52:J52"/>
    <mergeCell ref="G53:I54"/>
    <mergeCell ref="J53:J54"/>
    <mergeCell ref="G55:I56"/>
    <mergeCell ref="J55:J56"/>
    <mergeCell ref="B56:E56"/>
  </mergeCells>
  <conditionalFormatting sqref="E14:E24 E27:E34 E37:E41 E44:E47 E50:E55 E58:E65 J14:J23 J26:J32 J35:J39 J42:J45 J48:J51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5A118-AC3A-4FAB-9C0C-DA3792354F68}">
  <sheetPr>
    <pageSetUpPr autoPageBreaks="0" fitToPage="1"/>
  </sheetPr>
  <dimension ref="A1:J66"/>
  <sheetViews>
    <sheetView showGridLines="0" topLeftCell="A37" workbookViewId="0">
      <selection activeCell="J53" sqref="J53:J58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3" t="s">
        <v>34</v>
      </c>
      <c r="C2" s="33"/>
      <c r="D2" s="33"/>
      <c r="E2" s="33"/>
      <c r="F2" s="33"/>
      <c r="G2" s="33"/>
      <c r="H2" s="33"/>
      <c r="I2" s="33"/>
      <c r="J2" s="33"/>
    </row>
    <row r="3" spans="1:10" ht="8.1" customHeight="1" x14ac:dyDescent="0.2">
      <c r="A3" s="2"/>
      <c r="B3" s="43"/>
      <c r="C3" s="43"/>
      <c r="D3" s="43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40" t="s">
        <v>53</v>
      </c>
      <c r="C4" s="38" t="s">
        <v>68</v>
      </c>
      <c r="D4" s="39"/>
      <c r="E4" s="17">
        <v>0</v>
      </c>
      <c r="F4" s="5"/>
      <c r="G4" s="44" t="s">
        <v>58</v>
      </c>
      <c r="H4" s="45"/>
      <c r="I4" s="46"/>
      <c r="J4" s="53">
        <f>E7-J53</f>
        <v>0</v>
      </c>
    </row>
    <row r="5" spans="1:10" ht="15.95" customHeight="1" x14ac:dyDescent="0.2">
      <c r="A5" s="2"/>
      <c r="B5" s="41"/>
      <c r="C5" s="38" t="s">
        <v>69</v>
      </c>
      <c r="D5" s="39"/>
      <c r="E5" s="17">
        <v>0</v>
      </c>
      <c r="F5" s="5"/>
      <c r="G5" s="47"/>
      <c r="H5" s="48"/>
      <c r="I5" s="49"/>
      <c r="J5" s="54"/>
    </row>
    <row r="6" spans="1:10" ht="15.95" customHeight="1" x14ac:dyDescent="0.2">
      <c r="A6" s="2"/>
      <c r="B6" s="41"/>
      <c r="C6" s="27" t="s">
        <v>10</v>
      </c>
      <c r="D6" s="28"/>
      <c r="E6" s="17">
        <v>0</v>
      </c>
      <c r="F6" s="5"/>
      <c r="G6" s="50"/>
      <c r="H6" s="51"/>
      <c r="I6" s="52"/>
      <c r="J6" s="55"/>
    </row>
    <row r="7" spans="1:10" ht="15.95" customHeight="1" x14ac:dyDescent="0.2">
      <c r="A7" s="2"/>
      <c r="B7" s="42"/>
      <c r="C7" s="36" t="s">
        <v>35</v>
      </c>
      <c r="D7" s="37"/>
      <c r="E7" s="30">
        <f>SUM(E4:E6)</f>
        <v>0</v>
      </c>
      <c r="F7" s="5"/>
      <c r="G7" s="44" t="s">
        <v>59</v>
      </c>
      <c r="H7" s="45"/>
      <c r="I7" s="46"/>
      <c r="J7" s="53">
        <f>E11-J55</f>
        <v>0</v>
      </c>
    </row>
    <row r="8" spans="1:10" ht="15.95" customHeight="1" x14ac:dyDescent="0.2">
      <c r="A8" s="2"/>
      <c r="B8" s="40" t="s">
        <v>52</v>
      </c>
      <c r="C8" s="38" t="s">
        <v>68</v>
      </c>
      <c r="D8" s="39"/>
      <c r="E8" s="17">
        <v>0</v>
      </c>
      <c r="F8" s="5"/>
      <c r="G8" s="47"/>
      <c r="H8" s="48"/>
      <c r="I8" s="49"/>
      <c r="J8" s="54"/>
    </row>
    <row r="9" spans="1:10" ht="15.95" customHeight="1" x14ac:dyDescent="0.2">
      <c r="A9" s="2"/>
      <c r="B9" s="41"/>
      <c r="C9" s="27" t="s">
        <v>69</v>
      </c>
      <c r="D9" s="28"/>
      <c r="E9" s="17">
        <v>0</v>
      </c>
      <c r="F9" s="5"/>
      <c r="G9" s="50"/>
      <c r="H9" s="51"/>
      <c r="I9" s="52"/>
      <c r="J9" s="55"/>
    </row>
    <row r="10" spans="1:10" ht="15.95" customHeight="1" x14ac:dyDescent="0.2">
      <c r="A10" s="2"/>
      <c r="B10" s="41"/>
      <c r="C10" s="38" t="s">
        <v>10</v>
      </c>
      <c r="D10" s="39"/>
      <c r="E10" s="17">
        <v>0</v>
      </c>
      <c r="F10" s="5"/>
      <c r="G10" s="34" t="s">
        <v>60</v>
      </c>
      <c r="H10" s="34"/>
      <c r="I10" s="34"/>
      <c r="J10" s="35">
        <f>J7-J4</f>
        <v>0</v>
      </c>
    </row>
    <row r="11" spans="1:10" ht="15.95" customHeight="1" x14ac:dyDescent="0.2">
      <c r="A11" s="2"/>
      <c r="B11" s="42"/>
      <c r="C11" s="36" t="s">
        <v>35</v>
      </c>
      <c r="D11" s="37"/>
      <c r="E11" s="30">
        <f>SUM(E8:E10)</f>
        <v>0</v>
      </c>
      <c r="F11" s="5"/>
      <c r="G11" s="34"/>
      <c r="H11" s="34"/>
      <c r="I11" s="34"/>
      <c r="J11" s="35"/>
    </row>
    <row r="12" spans="1:10" ht="15.95" customHeight="1" x14ac:dyDescent="0.2">
      <c r="A12" s="2"/>
      <c r="B12" s="29"/>
      <c r="C12" s="29"/>
      <c r="D12" s="10"/>
      <c r="E12" s="11"/>
      <c r="F12" s="5"/>
      <c r="G12" s="12"/>
      <c r="H12" s="12"/>
      <c r="I12" s="12"/>
      <c r="J12" s="13"/>
    </row>
    <row r="13" spans="1:10" ht="15.95" customHeight="1" x14ac:dyDescent="0.2">
      <c r="A13" s="2"/>
      <c r="B13" s="18" t="s">
        <v>43</v>
      </c>
      <c r="C13" s="19" t="s">
        <v>0</v>
      </c>
      <c r="D13" s="19" t="s">
        <v>1</v>
      </c>
      <c r="E13" s="20" t="s">
        <v>2</v>
      </c>
      <c r="F13" s="16"/>
      <c r="G13" s="18" t="s">
        <v>44</v>
      </c>
      <c r="H13" s="19" t="s">
        <v>0</v>
      </c>
      <c r="I13" s="19" t="s">
        <v>1</v>
      </c>
      <c r="J13" s="20" t="s">
        <v>2</v>
      </c>
    </row>
    <row r="14" spans="1:10" ht="15.75" customHeight="1" x14ac:dyDescent="0.2">
      <c r="A14" s="2"/>
      <c r="B14" s="25" t="s">
        <v>62</v>
      </c>
      <c r="C14" s="21"/>
      <c r="D14" s="21"/>
      <c r="E14" s="22">
        <f>Table1134145156167178200[[#This Row],[Projected Cost]]-Table1134145156167178200[[#This Row],[Actual Cost]]</f>
        <v>0</v>
      </c>
      <c r="F14" s="26"/>
      <c r="G14" s="25" t="s">
        <v>66</v>
      </c>
      <c r="H14" s="21"/>
      <c r="I14" s="21"/>
      <c r="J14" s="22">
        <f>Table2144155166177188210[[#This Row],[Projected Cost]]-Table2144155166177188210[[#This Row],[Actual Cost]]</f>
        <v>0</v>
      </c>
    </row>
    <row r="15" spans="1:10" ht="15.75" customHeight="1" x14ac:dyDescent="0.2">
      <c r="A15" s="2"/>
      <c r="B15" s="25" t="s">
        <v>3</v>
      </c>
      <c r="C15" s="21"/>
      <c r="D15" s="21"/>
      <c r="E15" s="22">
        <f>Table1134145156167178200[[#This Row],[Projected Cost]]-Table1134145156167178200[[#This Row],[Actual Cost]]</f>
        <v>0</v>
      </c>
      <c r="F15" s="26"/>
      <c r="G15" s="25" t="s">
        <v>61</v>
      </c>
      <c r="H15" s="21"/>
      <c r="I15" s="21"/>
      <c r="J15" s="22">
        <f>Table2144155166177188210[[#This Row],[Projected Cost]]-Table2144155166177188210[[#This Row],[Actual Cost]]</f>
        <v>0</v>
      </c>
    </row>
    <row r="16" spans="1:10" ht="15.75" customHeight="1" x14ac:dyDescent="0.2">
      <c r="A16" s="2"/>
      <c r="B16" s="25" t="s">
        <v>37</v>
      </c>
      <c r="C16" s="21"/>
      <c r="D16" s="21"/>
      <c r="E16" s="22">
        <f>Table1134145156167178200[[#This Row],[Projected Cost]]-Table1134145156167178200[[#This Row],[Actual Cost]]</f>
        <v>0</v>
      </c>
      <c r="F16" s="26"/>
      <c r="G16" s="25" t="s">
        <v>25</v>
      </c>
      <c r="H16" s="21"/>
      <c r="I16" s="21"/>
      <c r="J16" s="22">
        <f>Table2144155166177188210[[#This Row],[Projected Cost]]-Table2144155166177188210[[#This Row],[Actual Cost]]</f>
        <v>0</v>
      </c>
    </row>
    <row r="17" spans="1:10" ht="15.75" customHeight="1" x14ac:dyDescent="0.2">
      <c r="A17" s="2"/>
      <c r="B17" s="25" t="s">
        <v>4</v>
      </c>
      <c r="C17" s="21"/>
      <c r="D17" s="21"/>
      <c r="E17" s="22">
        <f>Table1134145156167178200[[#This Row],[Projected Cost]]-Table1134145156167178200[[#This Row],[Actual Cost]]</f>
        <v>0</v>
      </c>
      <c r="F17" s="26"/>
      <c r="G17" s="25" t="s">
        <v>26</v>
      </c>
      <c r="H17" s="21"/>
      <c r="I17" s="21"/>
      <c r="J17" s="22">
        <f>Table2144155166177188210[[#This Row],[Projected Cost]]-Table2144155166177188210[[#This Row],[Actual Cost]]</f>
        <v>0</v>
      </c>
    </row>
    <row r="18" spans="1:10" ht="15.75" customHeight="1" x14ac:dyDescent="0.2">
      <c r="A18" s="2"/>
      <c r="B18" s="25" t="s">
        <v>5</v>
      </c>
      <c r="C18" s="21"/>
      <c r="D18" s="21"/>
      <c r="E18" s="22">
        <f>Table1134145156167178200[[#This Row],[Projected Cost]]-Table1134145156167178200[[#This Row],[Actual Cost]]</f>
        <v>0</v>
      </c>
      <c r="F18" s="26"/>
      <c r="G18" s="25" t="s">
        <v>39</v>
      </c>
      <c r="H18" s="21"/>
      <c r="I18" s="21"/>
      <c r="J18" s="22">
        <f>Table2144155166177188210[[#This Row],[Projected Cost]]-Table2144155166177188210[[#This Row],[Actual Cost]]</f>
        <v>0</v>
      </c>
    </row>
    <row r="19" spans="1:10" ht="15.75" customHeight="1" x14ac:dyDescent="0.2">
      <c r="A19" s="2"/>
      <c r="B19" s="25" t="s">
        <v>6</v>
      </c>
      <c r="C19" s="21"/>
      <c r="D19" s="21"/>
      <c r="E19" s="22">
        <f>Table1134145156167178200[[#This Row],[Projected Cost]]-Table1134145156167178200[[#This Row],[Actual Cost]]</f>
        <v>0</v>
      </c>
      <c r="F19" s="26"/>
      <c r="G19" s="25" t="s">
        <v>27</v>
      </c>
      <c r="H19" s="21"/>
      <c r="I19" s="21"/>
      <c r="J19" s="22">
        <f>Table2144155166177188210[[#This Row],[Projected Cost]]-Table2144155166177188210[[#This Row],[Actual Cost]]</f>
        <v>0</v>
      </c>
    </row>
    <row r="20" spans="1:10" ht="15.75" customHeight="1" x14ac:dyDescent="0.2">
      <c r="A20" s="2"/>
      <c r="B20" s="25" t="s">
        <v>7</v>
      </c>
      <c r="C20" s="21"/>
      <c r="D20" s="21"/>
      <c r="E20" s="22">
        <f>Table1134145156167178200[[#This Row],[Projected Cost]]-Table1134145156167178200[[#This Row],[Actual Cost]]</f>
        <v>0</v>
      </c>
      <c r="F20" s="26"/>
      <c r="G20" s="25" t="s">
        <v>10</v>
      </c>
      <c r="H20" s="21"/>
      <c r="I20" s="21"/>
      <c r="J20" s="22">
        <f>Table2144155166177188210[[#This Row],[Projected Cost]]-Table2144155166177188210[[#This Row],[Actual Cost]]</f>
        <v>0</v>
      </c>
    </row>
    <row r="21" spans="1:10" ht="15.75" customHeight="1" x14ac:dyDescent="0.2">
      <c r="A21" s="2"/>
      <c r="B21" s="25" t="s">
        <v>8</v>
      </c>
      <c r="C21" s="21"/>
      <c r="D21" s="21"/>
      <c r="E21" s="22">
        <f>Table1134145156167178200[[#This Row],[Projected Cost]]-Table1134145156167178200[[#This Row],[Actual Cost]]</f>
        <v>0</v>
      </c>
      <c r="F21" s="26"/>
      <c r="G21" s="25" t="s">
        <v>10</v>
      </c>
      <c r="H21" s="21"/>
      <c r="I21" s="21"/>
      <c r="J21" s="22">
        <f>Table2144155166177188210[[#This Row],[Projected Cost]]-Table2144155166177188210[[#This Row],[Actual Cost]]</f>
        <v>0</v>
      </c>
    </row>
    <row r="22" spans="1:10" ht="15.75" customHeight="1" x14ac:dyDescent="0.2">
      <c r="A22" s="2"/>
      <c r="B22" s="25" t="s">
        <v>9</v>
      </c>
      <c r="C22" s="21"/>
      <c r="D22" s="21"/>
      <c r="E22" s="22">
        <f>Table1134145156167178200[[#This Row],[Projected Cost]]-Table1134145156167178200[[#This Row],[Actual Cost]]</f>
        <v>0</v>
      </c>
      <c r="F22" s="26"/>
      <c r="G22" s="25" t="s">
        <v>10</v>
      </c>
      <c r="H22" s="21"/>
      <c r="I22" s="21"/>
      <c r="J22" s="22">
        <f>Table2144155166177188210[[#This Row],[Projected Cost]]-Table2144155166177188210[[#This Row],[Actual Cost]]</f>
        <v>0</v>
      </c>
    </row>
    <row r="23" spans="1:10" ht="15.75" customHeight="1" x14ac:dyDescent="0.2">
      <c r="A23" s="2"/>
      <c r="B23" s="25" t="s">
        <v>10</v>
      </c>
      <c r="C23" s="21"/>
      <c r="D23" s="21"/>
      <c r="E23" s="22">
        <f>Table1134145156167178200[[#This Row],[Projected Cost]]-Table1134145156167178200[[#This Row],[Actual Cost]]</f>
        <v>0</v>
      </c>
      <c r="F23" s="26"/>
      <c r="G23" s="18" t="s">
        <v>57</v>
      </c>
      <c r="H23" s="23">
        <f>SUBTOTAL(109,Table2144155166177188210[Projected Cost])</f>
        <v>0</v>
      </c>
      <c r="I23" s="21">
        <f>SUBTOTAL(109,Table2144155166177188210[Actual Cost])</f>
        <v>0</v>
      </c>
      <c r="J23" s="24">
        <f>SUBTOTAL(109,Table2144155166177188210[Difference])</f>
        <v>0</v>
      </c>
    </row>
    <row r="24" spans="1:10" ht="15.75" customHeight="1" x14ac:dyDescent="0.2">
      <c r="A24" s="2"/>
      <c r="B24" s="18" t="s">
        <v>57</v>
      </c>
      <c r="C24" s="21">
        <f>SUBTOTAL(109,Table1134145156167178200[Projected Cost])</f>
        <v>0</v>
      </c>
      <c r="D24" s="21">
        <f>SUBTOTAL(109,Table1134145156167178200[Actual Cost])</f>
        <v>0</v>
      </c>
      <c r="E24" s="24">
        <f>SUBTOTAL(109,Table1134145156167178200[Difference])</f>
        <v>0</v>
      </c>
      <c r="F24" s="26"/>
      <c r="G24" s="32"/>
      <c r="H24" s="32"/>
      <c r="I24" s="32"/>
      <c r="J24" s="32"/>
    </row>
    <row r="25" spans="1:10" ht="15.75" customHeight="1" x14ac:dyDescent="0.2">
      <c r="A25" s="2"/>
      <c r="B25" s="31"/>
      <c r="C25" s="31"/>
      <c r="D25" s="31"/>
      <c r="E25" s="31"/>
      <c r="F25" s="26"/>
      <c r="G25" s="18" t="s">
        <v>67</v>
      </c>
      <c r="H25" s="19" t="s">
        <v>0</v>
      </c>
      <c r="I25" s="19" t="s">
        <v>1</v>
      </c>
      <c r="J25" s="20" t="s">
        <v>2</v>
      </c>
    </row>
    <row r="26" spans="1:10" ht="15.75" customHeight="1" x14ac:dyDescent="0.2">
      <c r="A26" s="2"/>
      <c r="B26" s="18" t="s">
        <v>45</v>
      </c>
      <c r="C26" s="19" t="s">
        <v>0</v>
      </c>
      <c r="D26" s="19" t="s">
        <v>1</v>
      </c>
      <c r="E26" s="20" t="s">
        <v>2</v>
      </c>
      <c r="F26" s="26"/>
      <c r="G26" s="25" t="s">
        <v>29</v>
      </c>
      <c r="H26" s="21"/>
      <c r="I26" s="21"/>
      <c r="J26" s="22">
        <f>Table8141152163174185207[[#This Row],[Projected Cost]]-Table8141152163174185207[[#This Row],[Actual Cost]]</f>
        <v>0</v>
      </c>
    </row>
    <row r="27" spans="1:10" ht="15.75" customHeight="1" x14ac:dyDescent="0.2">
      <c r="A27" s="2"/>
      <c r="B27" s="25" t="s">
        <v>38</v>
      </c>
      <c r="C27" s="21"/>
      <c r="D27" s="21"/>
      <c r="E27" s="22">
        <f>Table3140151162173184206[[#This Row],[Projected Cost]]-Table3140151162173184206[[#This Row],[Actual Cost]]</f>
        <v>0</v>
      </c>
      <c r="F27" s="26"/>
      <c r="G27" s="25" t="s">
        <v>33</v>
      </c>
      <c r="H27" s="21"/>
      <c r="I27" s="21"/>
      <c r="J27" s="22">
        <f>Table8141152163174185207[[#This Row],[Projected Cost]]-Table8141152163174185207[[#This Row],[Actual Cost]]</f>
        <v>0</v>
      </c>
    </row>
    <row r="28" spans="1:10" ht="15.75" customHeight="1" x14ac:dyDescent="0.2">
      <c r="A28" s="2"/>
      <c r="B28" s="25" t="s">
        <v>63</v>
      </c>
      <c r="C28" s="21"/>
      <c r="D28" s="21"/>
      <c r="E28" s="22">
        <f>Table3140151162173184206[[#This Row],[Projected Cost]]-Table3140151162173184206[[#This Row],[Actual Cost]]</f>
        <v>0</v>
      </c>
      <c r="F28" s="26"/>
      <c r="G28" s="25" t="s">
        <v>40</v>
      </c>
      <c r="H28" s="21"/>
      <c r="I28" s="21"/>
      <c r="J28" s="22">
        <f>Table8141152163174185207[[#This Row],[Projected Cost]]-Table8141152163174185207[[#This Row],[Actual Cost]]</f>
        <v>0</v>
      </c>
    </row>
    <row r="29" spans="1:10" ht="15.75" customHeight="1" x14ac:dyDescent="0.2">
      <c r="A29" s="2"/>
      <c r="B29" s="25" t="s">
        <v>11</v>
      </c>
      <c r="C29" s="21"/>
      <c r="D29" s="21"/>
      <c r="E29" s="22">
        <f>Table3140151162173184206[[#This Row],[Projected Cost]]-Table3140151162173184206[[#This Row],[Actual Cost]]</f>
        <v>0</v>
      </c>
      <c r="F29" s="26"/>
      <c r="G29" s="25" t="s">
        <v>40</v>
      </c>
      <c r="H29" s="21"/>
      <c r="I29" s="21"/>
      <c r="J29" s="22">
        <f>Table8141152163174185207[[#This Row],[Projected Cost]]-Table8141152163174185207[[#This Row],[Actual Cost]]</f>
        <v>0</v>
      </c>
    </row>
    <row r="30" spans="1:10" ht="15.75" customHeight="1" x14ac:dyDescent="0.2">
      <c r="A30" s="2"/>
      <c r="B30" s="25" t="s">
        <v>12</v>
      </c>
      <c r="C30" s="21"/>
      <c r="D30" s="21"/>
      <c r="E30" s="22">
        <f>Table3140151162173184206[[#This Row],[Projected Cost]]-Table3140151162173184206[[#This Row],[Actual Cost]]</f>
        <v>0</v>
      </c>
      <c r="F30" s="26"/>
      <c r="G30" s="25" t="s">
        <v>40</v>
      </c>
      <c r="H30" s="21"/>
      <c r="I30" s="21"/>
      <c r="J30" s="22">
        <f>Table8141152163174185207[[#This Row],[Projected Cost]]-Table8141152163174185207[[#This Row],[Actual Cost]]</f>
        <v>0</v>
      </c>
    </row>
    <row r="31" spans="1:10" ht="15.75" customHeight="1" x14ac:dyDescent="0.2">
      <c r="A31" s="2"/>
      <c r="B31" s="25" t="s">
        <v>13</v>
      </c>
      <c r="C31" s="21"/>
      <c r="D31" s="21"/>
      <c r="E31" s="22">
        <f>Table3140151162173184206[[#This Row],[Projected Cost]]-Table3140151162173184206[[#This Row],[Actual Cost]]</f>
        <v>0</v>
      </c>
      <c r="F31" s="26"/>
      <c r="G31" s="25" t="s">
        <v>10</v>
      </c>
      <c r="H31" s="21"/>
      <c r="I31" s="21"/>
      <c r="J31" s="22">
        <f>Table8141152163174185207[[#This Row],[Projected Cost]]-Table8141152163174185207[[#This Row],[Actual Cost]]</f>
        <v>0</v>
      </c>
    </row>
    <row r="32" spans="1:10" ht="15.75" customHeight="1" x14ac:dyDescent="0.2">
      <c r="A32" s="2"/>
      <c r="B32" s="25" t="s">
        <v>14</v>
      </c>
      <c r="C32" s="21"/>
      <c r="D32" s="21"/>
      <c r="E32" s="22">
        <f>Table3140151162173184206[[#This Row],[Projected Cost]]-Table3140151162173184206[[#This Row],[Actual Cost]]</f>
        <v>0</v>
      </c>
      <c r="F32" s="26"/>
      <c r="G32" s="18" t="s">
        <v>57</v>
      </c>
      <c r="H32" s="21">
        <f>SUBTOTAL(109,Table8141152163174185207[Projected Cost])</f>
        <v>0</v>
      </c>
      <c r="I32" s="21">
        <f>SUBTOTAL(109,Table8141152163174185207[Actual Cost])</f>
        <v>0</v>
      </c>
      <c r="J32" s="24">
        <f>SUBTOTAL(109,Table8141152163174185207[Difference])</f>
        <v>0</v>
      </c>
    </row>
    <row r="33" spans="1:10" ht="15.75" customHeight="1" x14ac:dyDescent="0.2">
      <c r="A33" s="2"/>
      <c r="B33" s="25" t="s">
        <v>10</v>
      </c>
      <c r="C33" s="21"/>
      <c r="D33" s="21"/>
      <c r="E33" s="22">
        <f>Table3140151162173184206[[#This Row],[Projected Cost]]-Table3140151162173184206[[#This Row],[Actual Cost]]</f>
        <v>0</v>
      </c>
      <c r="F33" s="26"/>
      <c r="G33" s="31"/>
      <c r="H33" s="31"/>
      <c r="I33" s="31"/>
      <c r="J33" s="31"/>
    </row>
    <row r="34" spans="1:10" ht="15.75" customHeight="1" x14ac:dyDescent="0.2">
      <c r="A34" s="2"/>
      <c r="B34" s="18" t="s">
        <v>57</v>
      </c>
      <c r="C34" s="21">
        <f>SUBTOTAL(109,Table3140151162173184206[Projected Cost])</f>
        <v>0</v>
      </c>
      <c r="D34" s="21">
        <f>SUBTOTAL(109,Table3140151162173184206[Actual Cost])</f>
        <v>0</v>
      </c>
      <c r="E34" s="24">
        <f>SUBTOTAL(109,Table3140151162173184206[Difference])</f>
        <v>0</v>
      </c>
      <c r="F34" s="26"/>
      <c r="G34" s="18" t="s">
        <v>10</v>
      </c>
      <c r="H34" s="19" t="s">
        <v>0</v>
      </c>
      <c r="I34" s="19" t="s">
        <v>1</v>
      </c>
      <c r="J34" s="20" t="s">
        <v>2</v>
      </c>
    </row>
    <row r="35" spans="1:10" ht="15.75" customHeight="1" x14ac:dyDescent="0.2">
      <c r="A35" s="2"/>
      <c r="B35" s="31"/>
      <c r="C35" s="31"/>
      <c r="D35" s="31"/>
      <c r="E35" s="31"/>
      <c r="F35" s="26"/>
      <c r="G35" s="25" t="s">
        <v>10</v>
      </c>
      <c r="H35" s="21"/>
      <c r="I35" s="21"/>
      <c r="J35" s="22">
        <f>Table9139150161172183205[[#This Row],[Projected Cost]]-Table9139150161172183205[[#This Row],[Actual Cost]]</f>
        <v>0</v>
      </c>
    </row>
    <row r="36" spans="1:10" ht="15.75" customHeight="1" x14ac:dyDescent="0.2">
      <c r="A36" s="2"/>
      <c r="B36" s="18" t="s">
        <v>46</v>
      </c>
      <c r="C36" s="19" t="s">
        <v>0</v>
      </c>
      <c r="D36" s="19" t="s">
        <v>1</v>
      </c>
      <c r="E36" s="20" t="s">
        <v>2</v>
      </c>
      <c r="F36" s="26"/>
      <c r="G36" s="25" t="s">
        <v>10</v>
      </c>
      <c r="H36" s="21"/>
      <c r="I36" s="21"/>
      <c r="J36" s="22">
        <f>Table9139150161172183205[[#This Row],[Projected Cost]]-Table9139150161172183205[[#This Row],[Actual Cost]]</f>
        <v>0</v>
      </c>
    </row>
    <row r="37" spans="1:10" ht="15.75" customHeight="1" x14ac:dyDescent="0.2">
      <c r="A37" s="2"/>
      <c r="B37" s="25" t="s">
        <v>64</v>
      </c>
      <c r="C37" s="21"/>
      <c r="D37" s="21"/>
      <c r="E37" s="22">
        <f>Table4135146157168179201[[#This Row],[Projected Cost]]-Table4135146157168179201[[#This Row],[Actual Cost]]</f>
        <v>0</v>
      </c>
      <c r="F37" s="26"/>
      <c r="G37" s="25" t="s">
        <v>10</v>
      </c>
      <c r="H37" s="21"/>
      <c r="I37" s="21"/>
      <c r="J37" s="22">
        <f>Table9139150161172183205[[#This Row],[Projected Cost]]-Table9139150161172183205[[#This Row],[Actual Cost]]</f>
        <v>0</v>
      </c>
    </row>
    <row r="38" spans="1:10" ht="15.75" customHeight="1" x14ac:dyDescent="0.2">
      <c r="A38" s="2"/>
      <c r="B38" s="25" t="s">
        <v>15</v>
      </c>
      <c r="C38" s="21"/>
      <c r="D38" s="21"/>
      <c r="E38" s="22">
        <f>Table4135146157168179201[[#This Row],[Projected Cost]]-Table4135146157168179201[[#This Row],[Actual Cost]]</f>
        <v>0</v>
      </c>
      <c r="F38" s="26"/>
      <c r="G38" s="25" t="s">
        <v>10</v>
      </c>
      <c r="H38" s="21"/>
      <c r="I38" s="21"/>
      <c r="J38" s="22">
        <f>Table9139150161172183205[[#This Row],[Projected Cost]]-Table9139150161172183205[[#This Row],[Actual Cost]]</f>
        <v>0</v>
      </c>
    </row>
    <row r="39" spans="1:10" ht="15.75" customHeight="1" x14ac:dyDescent="0.2">
      <c r="A39" s="2"/>
      <c r="B39" s="25" t="s">
        <v>16</v>
      </c>
      <c r="C39" s="21"/>
      <c r="D39" s="21"/>
      <c r="E39" s="22">
        <f>Table4135146157168179201[[#This Row],[Projected Cost]]-Table4135146157168179201[[#This Row],[Actual Cost]]</f>
        <v>0</v>
      </c>
      <c r="F39" s="26"/>
      <c r="G39" s="18" t="s">
        <v>57</v>
      </c>
      <c r="H39" s="21">
        <f>SUBTOTAL(109,Table9139150161172183205[Projected Cost])</f>
        <v>0</v>
      </c>
      <c r="I39" s="21">
        <f>SUBTOTAL(109,Table9139150161172183205[Actual Cost])</f>
        <v>0</v>
      </c>
      <c r="J39" s="24">
        <f>SUBTOTAL(109,Table9139150161172183205[Difference])</f>
        <v>0</v>
      </c>
    </row>
    <row r="40" spans="1:10" ht="15.75" customHeight="1" x14ac:dyDescent="0.2">
      <c r="A40" s="2"/>
      <c r="B40" s="25" t="s">
        <v>10</v>
      </c>
      <c r="C40" s="21"/>
      <c r="D40" s="21"/>
      <c r="E40" s="22">
        <f>Table4135146157168179201[[#This Row],[Projected Cost]]-Table4135146157168179201[[#This Row],[Actual Cost]]</f>
        <v>0</v>
      </c>
      <c r="F40" s="26"/>
      <c r="G40" s="31"/>
      <c r="H40" s="31"/>
      <c r="I40" s="31"/>
      <c r="J40" s="31"/>
    </row>
    <row r="41" spans="1:10" ht="15.75" customHeight="1" x14ac:dyDescent="0.2">
      <c r="A41" s="2"/>
      <c r="B41" s="18" t="s">
        <v>57</v>
      </c>
      <c r="C41" s="21">
        <f>SUBTOTAL(109,Table4135146157168179201[Projected Cost])</f>
        <v>0</v>
      </c>
      <c r="D41" s="21">
        <f>SUBTOTAL(109,Table4135146157168179201[Actual Cost])</f>
        <v>0</v>
      </c>
      <c r="E41" s="24">
        <f>SUBTOTAL(109,Table4135146157168179201[Difference])</f>
        <v>0</v>
      </c>
      <c r="F41" s="26"/>
      <c r="G41" s="18" t="s">
        <v>48</v>
      </c>
      <c r="H41" s="19" t="s">
        <v>0</v>
      </c>
      <c r="I41" s="19" t="s">
        <v>1</v>
      </c>
      <c r="J41" s="20" t="s">
        <v>2</v>
      </c>
    </row>
    <row r="42" spans="1:10" ht="15.75" customHeight="1" x14ac:dyDescent="0.2">
      <c r="A42" s="2"/>
      <c r="B42" s="31"/>
      <c r="C42" s="31"/>
      <c r="D42" s="31"/>
      <c r="E42" s="31"/>
      <c r="F42" s="26"/>
      <c r="G42" s="25" t="s">
        <v>41</v>
      </c>
      <c r="H42" s="21"/>
      <c r="I42" s="21"/>
      <c r="J42" s="22">
        <f>Table10142153164175186208[[#This Row],[Projected Cost]]-Table10142153164175186208[[#This Row],[Actual Cost]]</f>
        <v>0</v>
      </c>
    </row>
    <row r="43" spans="1:10" ht="15.75" customHeight="1" x14ac:dyDescent="0.2">
      <c r="A43" s="2"/>
      <c r="B43" s="18" t="s">
        <v>47</v>
      </c>
      <c r="C43" s="19" t="s">
        <v>0</v>
      </c>
      <c r="D43" s="19" t="s">
        <v>1</v>
      </c>
      <c r="E43" s="20" t="s">
        <v>2</v>
      </c>
      <c r="F43" s="26"/>
      <c r="G43" s="25" t="s">
        <v>42</v>
      </c>
      <c r="H43" s="21"/>
      <c r="I43" s="21"/>
      <c r="J43" s="22">
        <f>Table10142153164175186208[[#This Row],[Projected Cost]]-Table10142153164175186208[[#This Row],[Actual Cost]]</f>
        <v>0</v>
      </c>
    </row>
    <row r="44" spans="1:10" ht="15.75" customHeight="1" x14ac:dyDescent="0.2">
      <c r="A44" s="2"/>
      <c r="B44" s="25" t="s">
        <v>17</v>
      </c>
      <c r="C44" s="21"/>
      <c r="D44" s="21"/>
      <c r="E44" s="22">
        <f>Table5138149160171182204[[#This Row],[Projected Cost]]-Table5138149160171182204[[#This Row],[Actual Cost]]</f>
        <v>0</v>
      </c>
      <c r="F44" s="26"/>
      <c r="G44" s="25" t="s">
        <v>10</v>
      </c>
      <c r="H44" s="21"/>
      <c r="I44" s="21"/>
      <c r="J44" s="22">
        <f>Table10142153164175186208[[#This Row],[Projected Cost]]-Table10142153164175186208[[#This Row],[Actual Cost]]</f>
        <v>0</v>
      </c>
    </row>
    <row r="45" spans="1:10" ht="15.75" customHeight="1" x14ac:dyDescent="0.2">
      <c r="A45" s="2"/>
      <c r="B45" s="25" t="s">
        <v>24</v>
      </c>
      <c r="C45" s="21"/>
      <c r="D45" s="21"/>
      <c r="E45" s="22">
        <f>Table5138149160171182204[[#This Row],[Projected Cost]]-Table5138149160171182204[[#This Row],[Actual Cost]]</f>
        <v>0</v>
      </c>
      <c r="F45" s="26"/>
      <c r="G45" s="18" t="s">
        <v>57</v>
      </c>
      <c r="H45" s="21">
        <f>SUBTOTAL(109,Table10142153164175186208[Projected Cost])</f>
        <v>0</v>
      </c>
      <c r="I45" s="21">
        <f>SUBTOTAL(109,Table10142153164175186208[Actual Cost])</f>
        <v>0</v>
      </c>
      <c r="J45" s="24">
        <f>SUBTOTAL(109,Table10142153164175186208[Difference])</f>
        <v>0</v>
      </c>
    </row>
    <row r="46" spans="1:10" ht="15.75" customHeight="1" x14ac:dyDescent="0.2">
      <c r="A46" s="2"/>
      <c r="B46" s="25" t="s">
        <v>10</v>
      </c>
      <c r="C46" s="21"/>
      <c r="D46" s="21"/>
      <c r="E46" s="22">
        <f>Table5138149160171182204[[#This Row],[Projected Cost]]-Table5138149160171182204[[#This Row],[Actual Cost]]</f>
        <v>0</v>
      </c>
      <c r="F46" s="26"/>
      <c r="G46" s="31"/>
      <c r="H46" s="31"/>
      <c r="I46" s="31"/>
      <c r="J46" s="31"/>
    </row>
    <row r="47" spans="1:10" ht="15.75" customHeight="1" x14ac:dyDescent="0.2">
      <c r="A47" s="2"/>
      <c r="B47" s="18" t="s">
        <v>57</v>
      </c>
      <c r="C47" s="21">
        <f>SUBTOTAL(109,Table5138149160171182204[Projected Cost])</f>
        <v>0</v>
      </c>
      <c r="D47" s="21">
        <f>SUBTOTAL(109,Table5138149160171182204[Actual Cost])</f>
        <v>0</v>
      </c>
      <c r="E47" s="24">
        <f>SUBTOTAL(109,Table5138149160171182204[Difference])</f>
        <v>0</v>
      </c>
      <c r="F47" s="26"/>
      <c r="G47" s="18" t="s">
        <v>49</v>
      </c>
      <c r="H47" s="19" t="s">
        <v>0</v>
      </c>
      <c r="I47" s="19" t="s">
        <v>1</v>
      </c>
      <c r="J47" s="20" t="s">
        <v>2</v>
      </c>
    </row>
    <row r="48" spans="1:10" ht="15.75" customHeight="1" x14ac:dyDescent="0.2">
      <c r="A48" s="2"/>
      <c r="B48" s="31"/>
      <c r="C48" s="31"/>
      <c r="D48" s="31"/>
      <c r="E48" s="31"/>
      <c r="F48" s="26"/>
      <c r="G48" s="25" t="s">
        <v>30</v>
      </c>
      <c r="H48" s="21"/>
      <c r="I48" s="21"/>
      <c r="J48" s="22">
        <f>Table11137148159170181203[[#This Row],[Projected Cost]]-Table11137148159170181203[[#This Row],[Actual Cost]]</f>
        <v>0</v>
      </c>
    </row>
    <row r="49" spans="1:10" ht="15.75" customHeight="1" x14ac:dyDescent="0.2">
      <c r="A49" s="2"/>
      <c r="B49" s="18" t="s">
        <v>50</v>
      </c>
      <c r="C49" s="19" t="s">
        <v>0</v>
      </c>
      <c r="D49" s="19" t="s">
        <v>1</v>
      </c>
      <c r="E49" s="20" t="s">
        <v>2</v>
      </c>
      <c r="F49" s="26"/>
      <c r="G49" s="25" t="s">
        <v>31</v>
      </c>
      <c r="H49" s="21"/>
      <c r="I49" s="21"/>
      <c r="J49" s="22">
        <f>Table11137148159170181203[[#This Row],[Projected Cost]]-Table11137148159170181203[[#This Row],[Actual Cost]]</f>
        <v>0</v>
      </c>
    </row>
    <row r="50" spans="1:10" ht="15.75" customHeight="1" x14ac:dyDescent="0.2">
      <c r="A50" s="2"/>
      <c r="B50" s="25" t="s">
        <v>18</v>
      </c>
      <c r="C50" s="21"/>
      <c r="D50" s="21"/>
      <c r="E50" s="22">
        <f>Table6136147158169180202[[#This Row],[Projected Cost]]-Table6136147158169180202[[#This Row],[Actual Cost]]</f>
        <v>0</v>
      </c>
      <c r="F50" s="26"/>
      <c r="G50" s="25" t="s">
        <v>36</v>
      </c>
      <c r="H50" s="21"/>
      <c r="I50" s="21"/>
      <c r="J50" s="22">
        <f>Table11137148159170181203[[#This Row],[Projected Cost]]-Table11137148159170181203[[#This Row],[Actual Cost]]</f>
        <v>0</v>
      </c>
    </row>
    <row r="51" spans="1:10" ht="15.75" customHeight="1" x14ac:dyDescent="0.2">
      <c r="A51" s="2"/>
      <c r="B51" s="25" t="s">
        <v>20</v>
      </c>
      <c r="C51" s="21"/>
      <c r="D51" s="21"/>
      <c r="E51" s="22">
        <f>Table6136147158169180202[[#This Row],[Projected Cost]]-Table6136147158169180202[[#This Row],[Actual Cost]]</f>
        <v>0</v>
      </c>
      <c r="F51" s="26"/>
      <c r="G51" s="18" t="s">
        <v>57</v>
      </c>
      <c r="H51" s="21">
        <f>SUBTOTAL(109,Table11137148159170181203[Projected Cost])</f>
        <v>0</v>
      </c>
      <c r="I51" s="21">
        <f>SUBTOTAL(109,Table11137148159170181203[Actual Cost])</f>
        <v>0</v>
      </c>
      <c r="J51" s="24">
        <f>SUBTOTAL(109,Table11137148159170181203[Difference])</f>
        <v>0</v>
      </c>
    </row>
    <row r="52" spans="1:10" ht="15.75" customHeight="1" x14ac:dyDescent="0.2">
      <c r="A52" s="2"/>
      <c r="B52" s="25" t="s">
        <v>21</v>
      </c>
      <c r="C52" s="21"/>
      <c r="D52" s="21"/>
      <c r="E52" s="22">
        <f>Table6136147158169180202[[#This Row],[Projected Cost]]-Table6136147158169180202[[#This Row],[Actual Cost]]</f>
        <v>0</v>
      </c>
      <c r="F52" s="26"/>
      <c r="G52" s="31"/>
      <c r="H52" s="31"/>
      <c r="I52" s="31"/>
      <c r="J52" s="31"/>
    </row>
    <row r="53" spans="1:10" ht="15.75" customHeight="1" x14ac:dyDescent="0.2">
      <c r="A53" s="2"/>
      <c r="B53" s="25" t="s">
        <v>19</v>
      </c>
      <c r="C53" s="21"/>
      <c r="D53" s="21"/>
      <c r="E53" s="22">
        <f>Table6136147158169180202[[#This Row],[Projected Cost]]-Table6136147158169180202[[#This Row],[Actual Cost]]</f>
        <v>0</v>
      </c>
      <c r="F53" s="26"/>
      <c r="G53" s="34" t="s">
        <v>54</v>
      </c>
      <c r="H53" s="34"/>
      <c r="I53" s="34"/>
      <c r="J53" s="35">
        <f>SUM(C24,C34,C41,C47,C55,C65,H23,H32,H39,H45,H51)</f>
        <v>0</v>
      </c>
    </row>
    <row r="54" spans="1:10" ht="15.75" customHeight="1" x14ac:dyDescent="0.2">
      <c r="A54" s="2"/>
      <c r="B54" s="25" t="s">
        <v>10</v>
      </c>
      <c r="C54" s="21"/>
      <c r="D54" s="21"/>
      <c r="E54" s="22">
        <f>Table6136147158169180202[[#This Row],[Projected Cost]]-Table6136147158169180202[[#This Row],[Actual Cost]]</f>
        <v>0</v>
      </c>
      <c r="F54" s="26"/>
      <c r="G54" s="34"/>
      <c r="H54" s="34"/>
      <c r="I54" s="34"/>
      <c r="J54" s="35"/>
    </row>
    <row r="55" spans="1:10" ht="15.75" customHeight="1" x14ac:dyDescent="0.2">
      <c r="A55" s="2"/>
      <c r="B55" s="18" t="s">
        <v>57</v>
      </c>
      <c r="C55" s="21">
        <f>SUBTOTAL(109,Table6136147158169180202[Projected Cost])</f>
        <v>0</v>
      </c>
      <c r="D55" s="21">
        <f>SUBTOTAL(109,Table6136147158169180202[Actual Cost])</f>
        <v>0</v>
      </c>
      <c r="E55" s="24">
        <f>SUBTOTAL(109,Table6136147158169180202[Difference])</f>
        <v>0</v>
      </c>
      <c r="F55" s="26"/>
      <c r="G55" s="34" t="s">
        <v>55</v>
      </c>
      <c r="H55" s="34"/>
      <c r="I55" s="34"/>
      <c r="J55" s="35">
        <f>SUM(D24,D34,D41,D47,D55,D65,I23,I32,I39,I45,I51)</f>
        <v>0</v>
      </c>
    </row>
    <row r="56" spans="1:10" ht="15.75" customHeight="1" x14ac:dyDescent="0.2">
      <c r="A56" s="2"/>
      <c r="B56" s="31"/>
      <c r="C56" s="31"/>
      <c r="D56" s="31"/>
      <c r="E56" s="31"/>
      <c r="F56" s="26"/>
      <c r="G56" s="34"/>
      <c r="H56" s="34"/>
      <c r="I56" s="34"/>
      <c r="J56" s="35"/>
    </row>
    <row r="57" spans="1:10" ht="15.75" customHeight="1" x14ac:dyDescent="0.2">
      <c r="A57" s="2"/>
      <c r="B57" s="18" t="s">
        <v>51</v>
      </c>
      <c r="C57" s="19" t="s">
        <v>0</v>
      </c>
      <c r="D57" s="19" t="s">
        <v>1</v>
      </c>
      <c r="E57" s="20" t="s">
        <v>2</v>
      </c>
      <c r="F57" s="26"/>
      <c r="G57" s="34" t="s">
        <v>56</v>
      </c>
      <c r="H57" s="34"/>
      <c r="I57" s="34"/>
      <c r="J57" s="35">
        <f>SUM(E24,E34,E41,E47,E55,E65,J23,J32,J39,J45,J51)</f>
        <v>0</v>
      </c>
    </row>
    <row r="58" spans="1:10" ht="15.75" customHeight="1" x14ac:dyDescent="0.2">
      <c r="A58" s="2"/>
      <c r="B58" s="25" t="s">
        <v>20</v>
      </c>
      <c r="C58" s="21"/>
      <c r="D58" s="21"/>
      <c r="E58" s="22">
        <f>Table7143154165176187209[[#This Row],[Projected Cost]]-Table7143154165176187209[[#This Row],[Actual Cost]]</f>
        <v>0</v>
      </c>
      <c r="F58" s="26"/>
      <c r="G58" s="34"/>
      <c r="H58" s="34"/>
      <c r="I58" s="34"/>
      <c r="J58" s="35"/>
    </row>
    <row r="59" spans="1:10" ht="15.75" customHeight="1" x14ac:dyDescent="0.2">
      <c r="A59" s="2"/>
      <c r="B59" s="25" t="s">
        <v>23</v>
      </c>
      <c r="C59" s="21"/>
      <c r="D59" s="21"/>
      <c r="E59" s="22">
        <f>Table7143154165176187209[[#This Row],[Projected Cost]]-Table7143154165176187209[[#This Row],[Actual Cost]]</f>
        <v>0</v>
      </c>
      <c r="F59" s="14"/>
    </row>
    <row r="60" spans="1:10" ht="15.75" customHeight="1" x14ac:dyDescent="0.2">
      <c r="A60" s="2"/>
      <c r="B60" s="25" t="s">
        <v>22</v>
      </c>
      <c r="C60" s="21"/>
      <c r="D60" s="21"/>
      <c r="E60" s="22">
        <f>Table7143154165176187209[[#This Row],[Projected Cost]]-Table7143154165176187209[[#This Row],[Actual Cost]]</f>
        <v>0</v>
      </c>
      <c r="F60" s="14"/>
    </row>
    <row r="61" spans="1:10" ht="15.75" customHeight="1" x14ac:dyDescent="0.2">
      <c r="A61" s="2"/>
      <c r="B61" s="25" t="s">
        <v>28</v>
      </c>
      <c r="C61" s="21"/>
      <c r="D61" s="21"/>
      <c r="E61" s="22">
        <f>Table7143154165176187209[[#This Row],[Projected Cost]]-Table7143154165176187209[[#This Row],[Actual Cost]]</f>
        <v>0</v>
      </c>
      <c r="F61" s="14"/>
    </row>
    <row r="62" spans="1:10" ht="15.75" customHeight="1" x14ac:dyDescent="0.2">
      <c r="A62" s="2"/>
      <c r="B62" s="25" t="s">
        <v>65</v>
      </c>
      <c r="C62" s="21"/>
      <c r="D62" s="21"/>
      <c r="E62" s="22">
        <f>Table7143154165176187209[[#This Row],[Projected Cost]]-Table7143154165176187209[[#This Row],[Actual Cost]]</f>
        <v>0</v>
      </c>
      <c r="F62" s="14"/>
    </row>
    <row r="63" spans="1:10" ht="15.75" customHeight="1" x14ac:dyDescent="0.2">
      <c r="A63" s="2"/>
      <c r="B63" s="25" t="s">
        <v>32</v>
      </c>
      <c r="C63" s="21"/>
      <c r="D63" s="21"/>
      <c r="E63" s="22">
        <f>Table7143154165176187209[[#This Row],[Projected Cost]]-Table7143154165176187209[[#This Row],[Actual Cost]]</f>
        <v>0</v>
      </c>
      <c r="F63" s="14"/>
    </row>
    <row r="64" spans="1:10" ht="15.75" customHeight="1" x14ac:dyDescent="0.2">
      <c r="A64" s="2"/>
      <c r="B64" s="25" t="s">
        <v>10</v>
      </c>
      <c r="C64" s="21"/>
      <c r="D64" s="21"/>
      <c r="E64" s="22">
        <f>Table7143154165176187209[[#This Row],[Projected Cost]]-Table7143154165176187209[[#This Row],[Actual Cost]]</f>
        <v>0</v>
      </c>
      <c r="F64" s="14"/>
    </row>
    <row r="65" spans="1:6" ht="15.75" customHeight="1" x14ac:dyDescent="0.2">
      <c r="A65" s="2"/>
      <c r="B65" s="18" t="s">
        <v>57</v>
      </c>
      <c r="C65" s="21">
        <f>SUBTOTAL(109,Table7143154165176187209[Projected Cost])</f>
        <v>0</v>
      </c>
      <c r="D65" s="21">
        <f>SUBTOTAL(109,Table7143154165176187209[Actual Cost])</f>
        <v>0</v>
      </c>
      <c r="E65" s="24">
        <f>SUBTOTAL(109,Table7143154165176187209[Difference])</f>
        <v>0</v>
      </c>
      <c r="F65" s="14"/>
    </row>
    <row r="66" spans="1:6" ht="15.75" customHeight="1" x14ac:dyDescent="0.2">
      <c r="B66" t="s">
        <v>70</v>
      </c>
    </row>
  </sheetData>
  <mergeCells count="32">
    <mergeCell ref="B2:J2"/>
    <mergeCell ref="B3:D3"/>
    <mergeCell ref="B4:B7"/>
    <mergeCell ref="C4:D4"/>
    <mergeCell ref="G4:I6"/>
    <mergeCell ref="J4:J6"/>
    <mergeCell ref="C5:D5"/>
    <mergeCell ref="C7:D7"/>
    <mergeCell ref="G7:I9"/>
    <mergeCell ref="J7:J9"/>
    <mergeCell ref="B42:E42"/>
    <mergeCell ref="B8:B11"/>
    <mergeCell ref="C8:D8"/>
    <mergeCell ref="C10:D10"/>
    <mergeCell ref="G10:I11"/>
    <mergeCell ref="G24:J24"/>
    <mergeCell ref="B25:E25"/>
    <mergeCell ref="G33:J33"/>
    <mergeCell ref="B35:E35"/>
    <mergeCell ref="G40:J40"/>
    <mergeCell ref="J10:J11"/>
    <mergeCell ref="C11:D11"/>
    <mergeCell ref="G57:I58"/>
    <mergeCell ref="J57:J58"/>
    <mergeCell ref="G46:J46"/>
    <mergeCell ref="B48:E48"/>
    <mergeCell ref="G52:J52"/>
    <mergeCell ref="G53:I54"/>
    <mergeCell ref="J53:J54"/>
    <mergeCell ref="G55:I56"/>
    <mergeCell ref="J55:J56"/>
    <mergeCell ref="B56:E56"/>
  </mergeCells>
  <conditionalFormatting sqref="E14:E24 E27:E34 E37:E41 E44:E47 E50:E55 E58:E65 J14:J23 J26:J32 J35:J39 J42:J45 J48:J51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0CA435-8500-4CBF-BE32-E39AD4439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>fcjones</dc:creator>
  <cp:keywords/>
  <cp:lastModifiedBy>Zimmerman, Anna</cp:lastModifiedBy>
  <cp:lastPrinted>2015-10-30T14:06:10Z</cp:lastPrinted>
  <dcterms:created xsi:type="dcterms:W3CDTF">2015-10-22T18:08:01Z</dcterms:created>
  <dcterms:modified xsi:type="dcterms:W3CDTF">2021-06-15T16:09:59Z</dcterms:modified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